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MVanbrun\Documents\US EPA\GHGs\U.S. GHG Inventory\"/>
    </mc:Choice>
  </mc:AlternateContent>
  <xr:revisionPtr revIDLastSave="0" documentId="13_ncr:1_{6B7778AC-AB02-47E2-B04B-9AD4B226848D}" xr6:coauthVersionLast="45" xr6:coauthVersionMax="45" xr10:uidLastSave="{00000000-0000-0000-0000-000000000000}"/>
  <bookViews>
    <workbookView xWindow="-110" yWindow="-110" windowWidth="19420" windowHeight="10560" xr2:uid="{8AB04EF2-5A2C-4338-BE55-5A5983767278}"/>
  </bookViews>
  <sheets>
    <sheet name="Sheet1" sheetId="1" r:id="rId1"/>
    <sheet name="EIA data" sheetId="2" r:id="rId2"/>
    <sheet name="Sheet2" sheetId="3" r:id="rId3"/>
  </sheets>
  <definedNames>
    <definedName name="_xlnm._FilterDatabase" localSheetId="0" hidden="1">Sheet1!$B$3:$Z$3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76" i="1" l="1"/>
  <c r="S24" i="1"/>
  <c r="S36" i="1"/>
  <c r="Q24" i="1" l="1"/>
  <c r="V24" i="1"/>
  <c r="X24" i="1" l="1"/>
  <c r="X5" i="1" l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7" i="1"/>
  <c r="X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7" i="1"/>
  <c r="W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4" i="1"/>
  <c r="T78" i="1"/>
  <c r="U78" i="1"/>
  <c r="V78" i="1"/>
  <c r="Y78" i="1"/>
  <c r="Z78" i="1"/>
  <c r="F20" i="3" l="1"/>
  <c r="H20" i="3"/>
  <c r="G20" i="3"/>
  <c r="E20" i="3"/>
  <c r="Q36" i="1"/>
  <c r="D19" i="3"/>
  <c r="H19" i="3"/>
  <c r="H22" i="3" s="1"/>
  <c r="G19" i="3"/>
  <c r="F19" i="3"/>
  <c r="E19" i="3"/>
  <c r="C20" i="3"/>
  <c r="C19" i="3"/>
  <c r="G22" i="3" l="1"/>
  <c r="F22" i="3"/>
  <c r="D20" i="3"/>
  <c r="E22" i="3"/>
  <c r="AA4" i="1"/>
  <c r="V76" i="1"/>
  <c r="U76" i="1"/>
  <c r="T76" i="1"/>
  <c r="AC76" i="1" s="1"/>
  <c r="AA76" i="1" s="1"/>
  <c r="S76" i="1"/>
  <c r="Q76" i="1"/>
  <c r="Q78" i="1" s="1"/>
  <c r="Q79" i="1" s="1"/>
  <c r="U43" i="1"/>
  <c r="T43" i="1"/>
  <c r="AC43" i="1"/>
  <c r="AA43" i="1" s="1"/>
  <c r="V43" i="1"/>
  <c r="P43" i="1"/>
  <c r="S43" i="1" s="1"/>
  <c r="U36" i="1"/>
  <c r="T36" i="1"/>
  <c r="V36" i="1"/>
  <c r="P36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7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A24" i="1" s="1"/>
  <c r="AC25" i="1"/>
  <c r="AC26" i="1"/>
  <c r="AC27" i="1"/>
  <c r="AC28" i="1"/>
  <c r="AC29" i="1"/>
  <c r="AC30" i="1"/>
  <c r="AC31" i="1"/>
  <c r="AC32" i="1"/>
  <c r="AC33" i="1"/>
  <c r="AC34" i="1"/>
  <c r="AC35" i="1"/>
  <c r="AC37" i="1"/>
  <c r="AC38" i="1"/>
  <c r="AC39" i="1"/>
  <c r="AC40" i="1"/>
  <c r="AC41" i="1"/>
  <c r="AC42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7" i="1"/>
  <c r="AC4" i="1"/>
  <c r="W76" i="1" l="1"/>
  <c r="S78" i="1"/>
  <c r="X76" i="1"/>
  <c r="AA78" i="1"/>
  <c r="Q81" i="1" s="1"/>
  <c r="AA79" i="1"/>
  <c r="D22" i="3"/>
  <c r="Q43" i="1"/>
  <c r="AC36" i="1"/>
  <c r="P35" i="1"/>
  <c r="W78" i="1" l="1"/>
  <c r="Q82" i="1"/>
  <c r="P5" i="1"/>
  <c r="P6" i="1"/>
  <c r="P7" i="1"/>
  <c r="P8" i="1"/>
  <c r="P9" i="1"/>
  <c r="P10" i="1"/>
  <c r="P11" i="1"/>
  <c r="P13" i="1"/>
  <c r="P12" i="1"/>
  <c r="P14" i="1"/>
  <c r="P15" i="1"/>
  <c r="P17" i="1"/>
  <c r="P18" i="1"/>
  <c r="P19" i="1"/>
  <c r="P20" i="1"/>
  <c r="P21" i="1"/>
  <c r="P16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7" i="1"/>
  <c r="P38" i="1"/>
  <c r="P39" i="1"/>
  <c r="P40" i="1"/>
  <c r="P41" i="1"/>
  <c r="P42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8" i="1"/>
  <c r="P67" i="1"/>
  <c r="P69" i="1"/>
  <c r="P70" i="1"/>
  <c r="P71" i="1"/>
  <c r="P72" i="1"/>
  <c r="P73" i="1"/>
  <c r="P74" i="1"/>
  <c r="P75" i="1"/>
  <c r="P77" i="1"/>
  <c r="P4" i="1"/>
  <c r="T20" i="1" l="1"/>
  <c r="T2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tc={D5D82DBC-88A7-4498-9040-77CB372D4812}</author>
    <author>tc={9BF0293B-0D7B-4A61-B50E-750F726E7715}</author>
    <author>tc={C5F8AAE0-012C-4BD6-86D8-A983F5FA421F}</author>
  </authors>
  <commentList>
    <comment ref="T20" authorId="0" shapeId="0" xr:uid="{D5D82DBC-88A7-4498-9040-77CB372D4812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LF CH4</t>
      </text>
    </comment>
    <comment ref="T21" authorId="1" shapeId="0" xr:uid="{9BF0293B-0D7B-4A61-B50E-750F726E7715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REMOVED LF CH4</t>
      </text>
    </comment>
    <comment ref="Q49" authorId="2" shapeId="0" xr:uid="{C5F8AAE0-012C-4BD6-86D8-A983F5FA421F}">
      <text>
        <t>[Threaded comment]
Your version of Excel allows you to read this threaded comment; however, any edits to it will get removed if the file is opened in a newer version of Excel. Learn more: https://go.microsoft.com/fwlink/?linkid=870924
Comment:
    SEEMS OFF
Reply:
    Check against what we reported for 2019.</t>
      </text>
    </comment>
  </commentList>
</comments>
</file>

<file path=xl/sharedStrings.xml><?xml version="1.0" encoding="utf-8"?>
<sst xmlns="http://schemas.openxmlformats.org/spreadsheetml/2006/main" count="1160" uniqueCount="514">
  <si>
    <t>DOE ORIS ID</t>
  </si>
  <si>
    <t>VA</t>
  </si>
  <si>
    <t>NY</t>
  </si>
  <si>
    <t>CT</t>
  </si>
  <si>
    <t>n/a</t>
  </si>
  <si>
    <t>NJ</t>
  </si>
  <si>
    <t>PA</t>
  </si>
  <si>
    <t>MA</t>
  </si>
  <si>
    <t>FL</t>
  </si>
  <si>
    <t>HI</t>
  </si>
  <si>
    <t>AL</t>
  </si>
  <si>
    <t>IN</t>
  </si>
  <si>
    <t>MI</t>
  </si>
  <si>
    <t>CA</t>
  </si>
  <si>
    <t>OR</t>
  </si>
  <si>
    <t>MD</t>
  </si>
  <si>
    <t>Tulsa</t>
  </si>
  <si>
    <t>OK</t>
  </si>
  <si>
    <t>GHGRP ID</t>
  </si>
  <si>
    <t>WA</t>
  </si>
  <si>
    <t>2122 S. Yukon Avenue</t>
  </si>
  <si>
    <t>Delaware Valley Resource Recovery Facility</t>
  </si>
  <si>
    <t>5700 Russell</t>
  </si>
  <si>
    <t>505 6th Avenue North</t>
  </si>
  <si>
    <t>Minneapolis</t>
  </si>
  <si>
    <t>MN</t>
  </si>
  <si>
    <t>1911 River Road</t>
  </si>
  <si>
    <t>Bainbridge</t>
  </si>
  <si>
    <t>ME</t>
  </si>
  <si>
    <t>Hartford</t>
  </si>
  <si>
    <t>Fulton</t>
  </si>
  <si>
    <t>Southeast Resource Recovery Facility (SERRF)</t>
  </si>
  <si>
    <t>NH</t>
  </si>
  <si>
    <t>Wheelabrator Lisbon Inc.</t>
  </si>
  <si>
    <t>Wheelabrator Portsmouth Inc.</t>
  </si>
  <si>
    <t>Wheelabrator Saugus Inc.</t>
  </si>
  <si>
    <t>CH4 (mt CO2e)</t>
  </si>
  <si>
    <t>N2O (mt CO2e)</t>
  </si>
  <si>
    <t>Biogenic CO2 (mt)</t>
  </si>
  <si>
    <t>Fossil  CO2 (mt)</t>
  </si>
  <si>
    <t>Biogenic MSW (tons) from EIA</t>
  </si>
  <si>
    <t>Fossil MSW (tons) from EIA</t>
  </si>
  <si>
    <t>Bay County Waste to Energy</t>
  </si>
  <si>
    <t>Camden Resource Recovery Facility</t>
  </si>
  <si>
    <t>Covanta Alexandria/Arlington Energy</t>
  </si>
  <si>
    <t>Covanta Babylon Inc</t>
  </si>
  <si>
    <t>Covanta Bristol Energy</t>
  </si>
  <si>
    <t>Covanta Delaware Valley</t>
  </si>
  <si>
    <t>Covanta Essex Company</t>
  </si>
  <si>
    <t>Covanta Fairfax Energy</t>
  </si>
  <si>
    <t>Covanta Haverhill</t>
  </si>
  <si>
    <t>Covanta Hempstead</t>
  </si>
  <si>
    <t>Covanta Hennepin Energy</t>
  </si>
  <si>
    <t>Covanta Indianapolis Energy</t>
  </si>
  <si>
    <t>Covanta Lake County Energy</t>
  </si>
  <si>
    <t>Covanta Marion Inc</t>
  </si>
  <si>
    <t>Covanta Niagara I, LLC</t>
  </si>
  <si>
    <t>Covanta Plymouth Renewable Energy</t>
  </si>
  <si>
    <t>Covanta Southeastern Connecticut Company</t>
  </si>
  <si>
    <t>Covanta Stanislaus Energy</t>
  </si>
  <si>
    <t>Covanta Tulsa Renewable Energy LLC</t>
  </si>
  <si>
    <t>Covanta Warren Energy</t>
  </si>
  <si>
    <t>CT Resource Rec Authority Facility</t>
  </si>
  <si>
    <t>Dutchess Cnty Resource Recovery Facility</t>
  </si>
  <si>
    <t>Elk River</t>
  </si>
  <si>
    <t>French Island</t>
  </si>
  <si>
    <t>Greater Detroit Resource Recovery</t>
  </si>
  <si>
    <t>H Power</t>
  </si>
  <si>
    <t>Harrisburg Facility</t>
  </si>
  <si>
    <t>Hillsborough County Resource Recovery</t>
  </si>
  <si>
    <t>Huntington Resource Recovery Facility</t>
  </si>
  <si>
    <t>Kent County Waste to Energy Facility</t>
  </si>
  <si>
    <t>Lancaster County Resource Recovery</t>
  </si>
  <si>
    <t>Lee County Solid Waste Energy</t>
  </si>
  <si>
    <t>MacArthur Waste to Energy Facility</t>
  </si>
  <si>
    <t>McKay Bay Facility</t>
  </si>
  <si>
    <t>Miami Dade County Resource Recovery Fac</t>
  </si>
  <si>
    <t>MMWAC Resource Recovery Facility</t>
  </si>
  <si>
    <t>Montgomery County Resource Recovery</t>
  </si>
  <si>
    <t>Olmsted Waste Energy</t>
  </si>
  <si>
    <t>Onondaga County Resource Recovery</t>
  </si>
  <si>
    <t>Oswego County Energy Recovery</t>
  </si>
  <si>
    <t>Palm Beach Renewable Energy Facility 1</t>
  </si>
  <si>
    <t>Palm Beach Renewable Energy Facility 2</t>
  </si>
  <si>
    <t>Pasco Cnty Solid Waste Resource Recovery</t>
  </si>
  <si>
    <t>Penobscot Energy Recovery</t>
  </si>
  <si>
    <t>Pinellas County Resource Recovery</t>
  </si>
  <si>
    <t>Pioneer Valley Resource Recovery</t>
  </si>
  <si>
    <t>Red Wing</t>
  </si>
  <si>
    <t>Regional Waste Systems</t>
  </si>
  <si>
    <t>SEMASS Resource Recovery</t>
  </si>
  <si>
    <t>Southeast Resource Recovery</t>
  </si>
  <si>
    <t>Spokane Waste to Energy</t>
  </si>
  <si>
    <t>State-Fuel Level Increment</t>
  </si>
  <si>
    <t>Union County Resource Recovery</t>
  </si>
  <si>
    <t>Wheelabrator Baltimore Refuse</t>
  </si>
  <si>
    <t>Wheelabrator Bridgeport</t>
  </si>
  <si>
    <t>Wheelabrator Concord Facility</t>
  </si>
  <si>
    <t>Wheelabrator Falls</t>
  </si>
  <si>
    <t>Wheelabrator Gloucester LP</t>
  </si>
  <si>
    <t>Wheelabrator Hudson Falls</t>
  </si>
  <si>
    <t>Wheelabrator Lisbon</t>
  </si>
  <si>
    <t>Wheelabrator Millbury Facility</t>
  </si>
  <si>
    <t>Wheelabrator North Andover</t>
  </si>
  <si>
    <t>Wheelabrator Portsmouth</t>
  </si>
  <si>
    <t>Wheelabrator Saugus</t>
  </si>
  <si>
    <t>Wheelabrator South Broward</t>
  </si>
  <si>
    <t>Wheelabrator Westchester</t>
  </si>
  <si>
    <t>Wilmarth</t>
  </si>
  <si>
    <t>York County Resource Recovery</t>
  </si>
  <si>
    <t>MSW Biogenic</t>
  </si>
  <si>
    <t>short tons</t>
  </si>
  <si>
    <t>MSW Fossil</t>
  </si>
  <si>
    <t>Facility</t>
  </si>
  <si>
    <t>msw type</t>
  </si>
  <si>
    <t>physical unit</t>
  </si>
  <si>
    <t>quantity</t>
  </si>
  <si>
    <t>Row Labels</t>
  </si>
  <si>
    <t>Grand Total</t>
  </si>
  <si>
    <t>Column Labels</t>
  </si>
  <si>
    <t>Sum of quantity</t>
  </si>
  <si>
    <t>WI</t>
  </si>
  <si>
    <t>Los Angeles</t>
  </si>
  <si>
    <t>Broward</t>
  </si>
  <si>
    <t>York</t>
  </si>
  <si>
    <t>Huntsville</t>
  </si>
  <si>
    <t>Madison</t>
  </si>
  <si>
    <t>Chester</t>
  </si>
  <si>
    <t>Delaware</t>
  </si>
  <si>
    <t>Lorton</t>
  </si>
  <si>
    <t>Fairfax</t>
  </si>
  <si>
    <t>Rochester</t>
  </si>
  <si>
    <t>Plymouth</t>
  </si>
  <si>
    <t>Westbury</t>
  </si>
  <si>
    <t>Nassau</t>
  </si>
  <si>
    <t>Newark</t>
  </si>
  <si>
    <t>Essex</t>
  </si>
  <si>
    <t>Ft. Lauderdale</t>
  </si>
  <si>
    <t>Kapolei</t>
  </si>
  <si>
    <t>Honolulu</t>
  </si>
  <si>
    <t>Bridgeport</t>
  </si>
  <si>
    <t>Fairfield</t>
  </si>
  <si>
    <t>Indianapolis</t>
  </si>
  <si>
    <t>Marion</t>
  </si>
  <si>
    <t>Baltimore</t>
  </si>
  <si>
    <t>Peekskill</t>
  </si>
  <si>
    <t>Westchester</t>
  </si>
  <si>
    <t>Miami</t>
  </si>
  <si>
    <t>Miami-Dade</t>
  </si>
  <si>
    <t>Fort Myers</t>
  </si>
  <si>
    <t>Lee</t>
  </si>
  <si>
    <t>Haverhill</t>
  </si>
  <si>
    <t>Dickerson</t>
  </si>
  <si>
    <t>Montgomery</t>
  </si>
  <si>
    <t>Portsmouth</t>
  </si>
  <si>
    <t>Rahway</t>
  </si>
  <si>
    <t>Union</t>
  </si>
  <si>
    <t>Tampa</t>
  </si>
  <si>
    <t>Hillsborough</t>
  </si>
  <si>
    <t>Morrisville</t>
  </si>
  <si>
    <t>Bucks</t>
  </si>
  <si>
    <t>Millbury</t>
  </si>
  <si>
    <t>Worcester</t>
  </si>
  <si>
    <t>North Andover</t>
  </si>
  <si>
    <t>Lancaster</t>
  </si>
  <si>
    <t>Conshohocken</t>
  </si>
  <si>
    <t>Long Beach</t>
  </si>
  <si>
    <t>Camden</t>
  </si>
  <si>
    <t>Saugus</t>
  </si>
  <si>
    <t>Jamesville</t>
  </si>
  <si>
    <t>Onondaga</t>
  </si>
  <si>
    <t>Alexandria</t>
  </si>
  <si>
    <t>East Northport</t>
  </si>
  <si>
    <t>Suffolk</t>
  </si>
  <si>
    <t>Hennepin</t>
  </si>
  <si>
    <t>Harrisburg</t>
  </si>
  <si>
    <t>Dauphin</t>
  </si>
  <si>
    <t>Crows Landing</t>
  </si>
  <si>
    <t>Stanislaus</t>
  </si>
  <si>
    <t>Preston</t>
  </si>
  <si>
    <t>New London</t>
  </si>
  <si>
    <t>West Babylon</t>
  </si>
  <si>
    <t>Spokane</t>
  </si>
  <si>
    <t>Bristol</t>
  </si>
  <si>
    <t>Merrimack</t>
  </si>
  <si>
    <t>Brooks</t>
  </si>
  <si>
    <t>Grand Rapids</t>
  </si>
  <si>
    <t>Kent</t>
  </si>
  <si>
    <t>Lisbon</t>
  </si>
  <si>
    <t>Westville</t>
  </si>
  <si>
    <t>Gloucester</t>
  </si>
  <si>
    <t>Portland</t>
  </si>
  <si>
    <t>Cumberland</t>
  </si>
  <si>
    <t>Ronkonkoma</t>
  </si>
  <si>
    <t>Orrington</t>
  </si>
  <si>
    <t>Penobscot</t>
  </si>
  <si>
    <t>Okahumpka</t>
  </si>
  <si>
    <t>Lake</t>
  </si>
  <si>
    <t>Hudson Falls</t>
  </si>
  <si>
    <t>Washington</t>
  </si>
  <si>
    <t>Poughkeepsie</t>
  </si>
  <si>
    <t>Dutchess</t>
  </si>
  <si>
    <t>Olmsted</t>
  </si>
  <si>
    <t>Agawam</t>
  </si>
  <si>
    <t>Hampden</t>
  </si>
  <si>
    <t>Bay</t>
  </si>
  <si>
    <t>Oswego</t>
  </si>
  <si>
    <t>Pittsfield</t>
  </si>
  <si>
    <t>Berkshire</t>
  </si>
  <si>
    <t>Perham</t>
  </si>
  <si>
    <t>Otter Tail</t>
  </si>
  <si>
    <t>Douglas</t>
  </si>
  <si>
    <t>Facility Name</t>
  </si>
  <si>
    <t>Essex County Resource Recovery Facility</t>
  </si>
  <si>
    <t>Covanta Energy</t>
  </si>
  <si>
    <t>Montgomery County Resource Recovery Facility</t>
  </si>
  <si>
    <t>Union County Resource Recovery Facility</t>
  </si>
  <si>
    <t>Hillsborough County Resource Recovery Facility</t>
  </si>
  <si>
    <t>Wheelabrator North Andover Inc.</t>
  </si>
  <si>
    <t>Covanta Babylon, Inc.</t>
  </si>
  <si>
    <t>Wheelabrator Gloucester Company, L.P.</t>
  </si>
  <si>
    <t>Perham Resource Recovery Facility</t>
  </si>
  <si>
    <t>Reported Address</t>
  </si>
  <si>
    <t>5251 Triana Blvd Sw</t>
  </si>
  <si>
    <t>10 Highland Avenue</t>
  </si>
  <si>
    <t>9898 Furnace Road</t>
  </si>
  <si>
    <t>141 Cranberry Highway Route 28</t>
  </si>
  <si>
    <t>600 Merchants Concourse</t>
  </si>
  <si>
    <t>183 Raymond Blvd</t>
  </si>
  <si>
    <t>4400 South State Road 7</t>
  </si>
  <si>
    <t>91-174 Hanua St</t>
  </si>
  <si>
    <t>6 Howard Ave</t>
  </si>
  <si>
    <t>2320 S Harding St</t>
  </si>
  <si>
    <t>1801 Old Annapolis Road</t>
  </si>
  <si>
    <t>1 Charles Pt Ave</t>
  </si>
  <si>
    <t>6990 Nw 97 Avenue</t>
  </si>
  <si>
    <t>10500 Buckingham Road</t>
  </si>
  <si>
    <t>100 Recovery Way</t>
  </si>
  <si>
    <t>21204 Martinsburg Road</t>
  </si>
  <si>
    <t>3809 Elm Avenue</t>
  </si>
  <si>
    <t>1499 Us Rt 1 &amp; 9 North</t>
  </si>
  <si>
    <t>350 North Falkenburg Road</t>
  </si>
  <si>
    <t>1201 New Ford Mill Road</t>
  </si>
  <si>
    <t>331 Southwest Cutoff</t>
  </si>
  <si>
    <t>2651 Blackbridge Road</t>
  </si>
  <si>
    <t>285 Holt Road</t>
  </si>
  <si>
    <t>1155 Conshohocken Road</t>
  </si>
  <si>
    <t>120 Pier S. Ave</t>
  </si>
  <si>
    <t>600 Morgan Boulevard</t>
  </si>
  <si>
    <t>100 Salem Turnpike</t>
  </si>
  <si>
    <t>5801 Rock Cut Road</t>
  </si>
  <si>
    <t>5301 Eisenhower Avenue</t>
  </si>
  <si>
    <t>99 Town Line Rd.</t>
  </si>
  <si>
    <t>107 North 34th St</t>
  </si>
  <si>
    <t>1670 South 19th Street</t>
  </si>
  <si>
    <t>4040 Fink Road</t>
  </si>
  <si>
    <t>132 Military Highway</t>
  </si>
  <si>
    <t>125 Gleam Street</t>
  </si>
  <si>
    <t>2900 S Geiger Blvd</t>
  </si>
  <si>
    <t>170 Enterprise Drive</t>
  </si>
  <si>
    <t>11 Whitney Road</t>
  </si>
  <si>
    <t>4850 Brooklake Road Northeast</t>
  </si>
  <si>
    <t>950 Market Ave Sw</t>
  </si>
  <si>
    <t>425 South Burnham Highway</t>
  </si>
  <si>
    <t>64 Blueberry Rd</t>
  </si>
  <si>
    <t>4001 Veterans Memorial Highway</t>
  </si>
  <si>
    <t>29 Industrial Way</t>
  </si>
  <si>
    <t>3830 Rogers Industrial Park Road</t>
  </si>
  <si>
    <t>93 River Street</t>
  </si>
  <si>
    <t>98 Sand Dock Rd</t>
  </si>
  <si>
    <t>301 Silver Creek Rd Ne</t>
  </si>
  <si>
    <t>188 M St</t>
  </si>
  <si>
    <t>6510 Bay Line Drive</t>
  </si>
  <si>
    <t>2801 State Route 481</t>
  </si>
  <si>
    <t>218 Mount Pisgah Road</t>
  </si>
  <si>
    <t>500 Hubbard Avenue</t>
  </si>
  <si>
    <t>201 6th Avenue Ne</t>
  </si>
  <si>
    <t>2115 South Jefferson Street</t>
  </si>
  <si>
    <t>04005</t>
  </si>
  <si>
    <t>02770</t>
  </si>
  <si>
    <t>07105</t>
  </si>
  <si>
    <t>06605</t>
  </si>
  <si>
    <t>01835</t>
  </si>
  <si>
    <t>07065</t>
  </si>
  <si>
    <t>01527</t>
  </si>
  <si>
    <t>01845</t>
  </si>
  <si>
    <t>08104</t>
  </si>
  <si>
    <t>01906</t>
  </si>
  <si>
    <t>06365</t>
  </si>
  <si>
    <t>06010</t>
  </si>
  <si>
    <t>03303</t>
  </si>
  <si>
    <t>06351</t>
  </si>
  <si>
    <t>08093</t>
  </si>
  <si>
    <t>04102</t>
  </si>
  <si>
    <t>04474</t>
  </si>
  <si>
    <t>01001</t>
  </si>
  <si>
    <t>07863</t>
  </si>
  <si>
    <t>06114</t>
  </si>
  <si>
    <t>01201</t>
  </si>
  <si>
    <t>GHGs (mt CO2e)</t>
  </si>
  <si>
    <t>State</t>
  </si>
  <si>
    <t>City</t>
  </si>
  <si>
    <t>County</t>
  </si>
  <si>
    <t>Units</t>
  </si>
  <si>
    <t>Total Design Capacity (TPD)</t>
  </si>
  <si>
    <t>Technology Type</t>
  </si>
  <si>
    <t>Rated Steam Capacity (Lbs/Hr); Typical Steam Export</t>
  </si>
  <si>
    <t>Rated Electric Capacity (MW)</t>
  </si>
  <si>
    <t>Owner</t>
  </si>
  <si>
    <t>Operator</t>
  </si>
  <si>
    <t>Huntsville Waste-to-Energy Facility</t>
  </si>
  <si>
    <t>Mass Burn</t>
  </si>
  <si>
    <t>City of Huntsville Solid Waste Disposal Authority</t>
  </si>
  <si>
    <t>Covanta Huntsville, Inc.</t>
  </si>
  <si>
    <t>Southeast Resource Recovery Facility Authority (City of Long Beach and Los Angeles County Sanitation Districts)</t>
  </si>
  <si>
    <t>Covanta Long Beach Renewable Energy Corp.</t>
  </si>
  <si>
    <t>Stanislaus County Resource Recovery Facility</t>
  </si>
  <si>
    <t>Covanta Stanislaus, Inc.</t>
  </si>
  <si>
    <t>Bristol Resource Recovery Facility</t>
  </si>
  <si>
    <t>Covanta Bristol, Inc.</t>
  </si>
  <si>
    <t>CRRA Hartford Trash-to-Energy Plant</t>
  </si>
  <si>
    <t>RDF</t>
  </si>
  <si>
    <t>Connecticut Materials Innovation and Recycling Authority</t>
  </si>
  <si>
    <t>NAES Corp.</t>
  </si>
  <si>
    <t>Southeastern Connecticut Resource Recovery Facility</t>
  </si>
  <si>
    <t>Covanta Company of Southeastern Connecticut</t>
  </si>
  <si>
    <t>Wheelabrator Bridgeport, L.P.</t>
  </si>
  <si>
    <t>Eastern Connecticut Resource Recovery Authority</t>
  </si>
  <si>
    <t>Hillsborough County</t>
  </si>
  <si>
    <t xml:space="preserve"> Covanta Hillsborough, Inc.</t>
  </si>
  <si>
    <t>Lake County Resource Recovery Facility</t>
  </si>
  <si>
    <t>Covanta Lake, Inc.</t>
  </si>
  <si>
    <t>Lee County Resource Recovery Facility</t>
  </si>
  <si>
    <t>Lee County</t>
  </si>
  <si>
    <t>Covanta Lee, Inc.</t>
  </si>
  <si>
    <t>Miami-Dade County Resource Recovery Facility</t>
  </si>
  <si>
    <t>Miami-Dade County</t>
  </si>
  <si>
    <t>Covanta Dade Renewable Energy</t>
  </si>
  <si>
    <t>Palm Beach Renewable Energy Facility #1</t>
  </si>
  <si>
    <t>West Palm Beach</t>
  </si>
  <si>
    <t>Palm Beach</t>
  </si>
  <si>
    <t>Solid Waste Authority of Palm Beach County</t>
  </si>
  <si>
    <t>Palm Beach Renewable Energy Facility #2</t>
  </si>
  <si>
    <t>Pasco County Solid Waste Resource Recovery Facility</t>
  </si>
  <si>
    <t>Spring Hill</t>
  </si>
  <si>
    <t>Pasco</t>
  </si>
  <si>
    <t>Pasco County</t>
  </si>
  <si>
    <t>Covanta Pasco, Inc.</t>
  </si>
  <si>
    <t>Pinellas County Resource Recovery Facility</t>
  </si>
  <si>
    <t>St. Petersburg</t>
  </si>
  <si>
    <t>Pinellas</t>
  </si>
  <si>
    <t>Pinellas County</t>
  </si>
  <si>
    <t>Covanta Pinellas, Inc.</t>
  </si>
  <si>
    <t>McKay Bay Refuse-to-Energy Facility</t>
  </si>
  <si>
    <t>City of Tampa</t>
  </si>
  <si>
    <t>Wheelabrator McKay Bay Inc.</t>
  </si>
  <si>
    <t>Wheelabrator South Broward Inc.</t>
  </si>
  <si>
    <t>City &amp; County of Honolulu</t>
  </si>
  <si>
    <t>Covanta Honolulu Resource Recovery Venture</t>
  </si>
  <si>
    <t>IA</t>
  </si>
  <si>
    <t>Arnold O. Chantland Resource Recovery Plant</t>
  </si>
  <si>
    <t>Ames</t>
  </si>
  <si>
    <t>Story</t>
  </si>
  <si>
    <t>City of Ames</t>
  </si>
  <si>
    <t>Indianapolis Resource Recovery Facility</t>
  </si>
  <si>
    <t>Covanta Indianapolis, Inc.</t>
  </si>
  <si>
    <t>Haverhill Resource Recovery Facility</t>
  </si>
  <si>
    <t>Covanta Haverhill, Inc.</t>
  </si>
  <si>
    <t>Pioneer Valley Resource Recovery Facility</t>
  </si>
  <si>
    <t>Modular</t>
  </si>
  <si>
    <t>Covanta Springfield, LLC</t>
  </si>
  <si>
    <t>Pittsfield Resource Recovery Facility</t>
  </si>
  <si>
    <t>Covanta Pittsfield, LLC</t>
  </si>
  <si>
    <t>SEMASS Resource Recovery Facility</t>
  </si>
  <si>
    <t>West Wareham</t>
  </si>
  <si>
    <t>Covanta SEMASS, L.P.</t>
  </si>
  <si>
    <t>Wheelabrator Millbury Inc.</t>
  </si>
  <si>
    <t>Northeast Maryland Waste Disposal Authority</t>
  </si>
  <si>
    <t>Covanta Montgomery, Inc.</t>
  </si>
  <si>
    <t>Wheelabrator Baltimore, L.P.</t>
  </si>
  <si>
    <t>ecomaine</t>
  </si>
  <si>
    <t>Mid-Maine Waste Action Corporation</t>
  </si>
  <si>
    <t>Auburn</t>
  </si>
  <si>
    <t>Androscoggin</t>
  </si>
  <si>
    <t>Penobscot Energy Recovery Company</t>
  </si>
  <si>
    <t>USA Energy Group LLC; PERC Holdings LLC; Communities</t>
  </si>
  <si>
    <t>ESOCO Orrington, Inc.</t>
  </si>
  <si>
    <t>Kent County Waste-to-Energy Facility</t>
  </si>
  <si>
    <t>Kent County</t>
  </si>
  <si>
    <t>Covanta Kent, Inc.</t>
  </si>
  <si>
    <t>Hennepin Energy Resource Center (HERC)</t>
  </si>
  <si>
    <t>Hennepin County</t>
  </si>
  <si>
    <t>GRE HERC Services LLC</t>
  </si>
  <si>
    <t>Olmsted Waste-to-Energy Facility</t>
  </si>
  <si>
    <t>Olmsted County</t>
  </si>
  <si>
    <t>Prairie Lakes Municipal Solid Waste Authority (PLMSWA)</t>
  </si>
  <si>
    <t>Polk County Solid Waste Resource Recovery Facility</t>
  </si>
  <si>
    <t>Fosston</t>
  </si>
  <si>
    <t>Polk</t>
  </si>
  <si>
    <t>Polk County</t>
  </si>
  <si>
    <t>Pope/Douglas Waste-to-Energy Facility</t>
  </si>
  <si>
    <t>Pope/Douglas Solid Waste Joint Powers Board</t>
  </si>
  <si>
    <t>Xcel Energy - Red Wing Steam Plant</t>
  </si>
  <si>
    <t>Goodhue</t>
  </si>
  <si>
    <t>Xcel Energy</t>
  </si>
  <si>
    <t>Xcel Energy-Wilmarth Plant</t>
  </si>
  <si>
    <t>Mankato</t>
  </si>
  <si>
    <t>Blue Earth</t>
  </si>
  <si>
    <t>Wheelabrator Concord Company, L.P.</t>
  </si>
  <si>
    <t>Penacook</t>
  </si>
  <si>
    <t>Wheelabrator Concord, L.P.</t>
  </si>
  <si>
    <t>Covanta Camden Energy Recovery Center</t>
  </si>
  <si>
    <t>Covanta Camden GP, LLC</t>
  </si>
  <si>
    <t>Union County Utility Authority</t>
  </si>
  <si>
    <t>Covanta Union, Inc.</t>
  </si>
  <si>
    <t>Babylon Resource Recovery Facility</t>
  </si>
  <si>
    <t>Covanta Hempstead Co.</t>
  </si>
  <si>
    <t>Dutchess County Resource Recovery Facility</t>
  </si>
  <si>
    <t>Dutchess County Resource Recovery Agency</t>
  </si>
  <si>
    <t>Wheelabrator Dutchess County Inc.</t>
  </si>
  <si>
    <t>Covanta Huntington, Inc.</t>
  </si>
  <si>
    <t>MacArthur Waste-to-Energy Facility</t>
  </si>
  <si>
    <t>Islip Resource Recovery Agency</t>
  </si>
  <si>
    <t>Covanta MacArthur Renewable Energy, Inc.</t>
  </si>
  <si>
    <t>Niagara Resource Recovery Facility</t>
  </si>
  <si>
    <t>Niagara Falls</t>
  </si>
  <si>
    <t>Niagara</t>
  </si>
  <si>
    <t>Covanta Niagara Company</t>
  </si>
  <si>
    <t>Onondaga County Resource Recovery Facility</t>
  </si>
  <si>
    <t>Covanta Onondaga, L.P.</t>
  </si>
  <si>
    <t>Oswego County Energy Recovery Facility</t>
  </si>
  <si>
    <t>Oswego County</t>
  </si>
  <si>
    <t>Wheelabrator Hudson Falls L.L.C.</t>
  </si>
  <si>
    <t>Wheelabrator Westchester, L.P.</t>
  </si>
  <si>
    <t>Walter B. Hall Resource Recovery Facility</t>
  </si>
  <si>
    <t>Covanta Tulsa Renewable Energy, LLC</t>
  </si>
  <si>
    <t>Marion County Solid Waste-to-Energy Facility</t>
  </si>
  <si>
    <t>Covanta Marion, Inc.</t>
  </si>
  <si>
    <t>Covanta Plymouth Renewable Energy L.P.</t>
  </si>
  <si>
    <t>Covanta Delaware Valley, L.P.</t>
  </si>
  <si>
    <t>Susquehanna Resource Management Complex</t>
  </si>
  <si>
    <t>Lancaster County Solid Waste Management Authority</t>
  </si>
  <si>
    <t>Covanta Harrisburg, Inc.</t>
  </si>
  <si>
    <t>Lancaster County Resource Recovery Facility</t>
  </si>
  <si>
    <t>Covanta Lancaster, Inc.</t>
  </si>
  <si>
    <t>Wheelabrator Falls Inc.</t>
  </si>
  <si>
    <t>York County Resource Recovery Center</t>
  </si>
  <si>
    <t>York County Solid Waste Authority</t>
  </si>
  <si>
    <t>Covanta York Renewable Energy, LLC</t>
  </si>
  <si>
    <t>Alexandria/Arlington Resource Recovery Facility</t>
  </si>
  <si>
    <t>Covanta Arlington/Alexandria, Inc.</t>
  </si>
  <si>
    <t>Hampton-NASA Steam Plant</t>
  </si>
  <si>
    <t>Hampton</t>
  </si>
  <si>
    <t>NASA &amp; City of Hampton</t>
  </si>
  <si>
    <t>City of Hampton</t>
  </si>
  <si>
    <t>I-95 Energy/Resource Recovery Facility (Fairfax)</t>
  </si>
  <si>
    <t>Covanta Fairfax, Inc.</t>
  </si>
  <si>
    <t>Spokane Waste-to-Energy Facility</t>
  </si>
  <si>
    <t>City of Spokane</t>
  </si>
  <si>
    <t>Barron County Waste-to-Energy &amp; Recycling Facility</t>
  </si>
  <si>
    <t>Almena</t>
  </si>
  <si>
    <t>Barron</t>
  </si>
  <si>
    <t>Barron County</t>
  </si>
  <si>
    <t>ZAC, Inc.</t>
  </si>
  <si>
    <t>Xcel Energy French Island Generating Station</t>
  </si>
  <si>
    <t>LaCrosse</t>
  </si>
  <si>
    <t>Panama</t>
  </si>
  <si>
    <t>Covanta Warren</t>
  </si>
  <si>
    <t>Detriot Renewable Power LLC</t>
  </si>
  <si>
    <t>Detriot</t>
  </si>
  <si>
    <t>101 5th Street East</t>
  </si>
  <si>
    <t>55901</t>
  </si>
  <si>
    <t>800 Summit Avenue</t>
  </si>
  <si>
    <t>56001</t>
  </si>
  <si>
    <t>50 Wythe Creek Rd</t>
  </si>
  <si>
    <t>23666</t>
  </si>
  <si>
    <t>200 South Bainbridge St.</t>
  </si>
  <si>
    <t>Honolulu Resource Recovery Venture—HPOWER</t>
  </si>
  <si>
    <t>Zip Code</t>
  </si>
  <si>
    <t>110 Goldwaite Rd.</t>
  </si>
  <si>
    <t>Maine Waste to Energy</t>
  </si>
  <si>
    <t>200 E. 5th St</t>
  </si>
  <si>
    <t>50010</t>
  </si>
  <si>
    <t>Total MSW (tons)</t>
  </si>
  <si>
    <t>Estimated MSW based on CH4 emissions factor</t>
  </si>
  <si>
    <t>Not in Main sheet</t>
  </si>
  <si>
    <t>metric tonnes GHG</t>
  </si>
  <si>
    <t>WPB #1 (RDF)</t>
  </si>
  <si>
    <t>WPB #2 (Mass Burn)</t>
  </si>
  <si>
    <t>LFG</t>
  </si>
  <si>
    <t>EU-1</t>
  </si>
  <si>
    <t>EU-2</t>
  </si>
  <si>
    <t>EU-3</t>
  </si>
  <si>
    <t>EU-4</t>
  </si>
  <si>
    <t>EU-5</t>
  </si>
  <si>
    <t>CP-BPF</t>
  </si>
  <si>
    <t>Max. Heat Input Cap.</t>
  </si>
  <si>
    <t>MSW</t>
  </si>
  <si>
    <t>Fossil CO2</t>
  </si>
  <si>
    <t>Biogenic CO2</t>
  </si>
  <si>
    <t>CH4</t>
  </si>
  <si>
    <t>N2O</t>
  </si>
  <si>
    <t>Natural Gas / LFG</t>
  </si>
  <si>
    <t>Estimate?</t>
  </si>
  <si>
    <t>% Estimated</t>
  </si>
  <si>
    <t>Y</t>
  </si>
  <si>
    <t>Overall MSW carbon content (%w/w)</t>
  </si>
  <si>
    <t>Biogenic Carbon %</t>
  </si>
  <si>
    <t>% Bio C</t>
  </si>
  <si>
    <t>Total C Content</t>
  </si>
  <si>
    <t>U.S. EPA GHG Reporting Program</t>
  </si>
  <si>
    <t>EIA Data</t>
  </si>
  <si>
    <t>Predicted Fossil CO2 (Design Capacity) (mt CO2)</t>
  </si>
  <si>
    <t>Energy Recovery Council (ERC)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</si>
</sst>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9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5"/>
      <name val="Calibri"/>
      <family val="2"/>
      <scheme val="minor"/>
    </font>
    <font>
      <sz val="11"/>
      <color rgb="FF000000"/>
      <name val="Calibri"/>
      <family val="2"/>
    </font>
    <font>
      <sz val="10"/>
      <color theme="1"/>
      <name val="Calibri"/>
      <family val="2"/>
    </font>
    <font>
      <b/>
      <sz val="10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darkUp">
        <fgColor theme="0" tint="-0.149967955565050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2" borderId="0" xfId="0" applyFill="1" applyAlignment="1">
      <alignment horizontal="left"/>
    </xf>
    <xf numFmtId="0" fontId="0" fillId="2" borderId="0" xfId="0" applyNumberFormat="1" applyFill="1"/>
    <xf numFmtId="0" fontId="0" fillId="0" borderId="0" xfId="0" applyFill="1" applyAlignment="1">
      <alignment horizontal="left"/>
    </xf>
    <xf numFmtId="0" fontId="0" fillId="0" borderId="0" xfId="0" applyNumberFormat="1" applyFill="1"/>
    <xf numFmtId="0" fontId="0" fillId="0" borderId="0" xfId="0" applyFill="1"/>
    <xf numFmtId="0" fontId="7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49" fontId="7" fillId="0" borderId="0" xfId="1" applyNumberFormat="1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right" vertical="top"/>
    </xf>
    <xf numFmtId="3" fontId="7" fillId="0" borderId="0" xfId="0" applyNumberFormat="1" applyFont="1" applyFill="1" applyBorder="1" applyAlignment="1">
      <alignment vertical="top" wrapText="1"/>
    </xf>
    <xf numFmtId="3" fontId="7" fillId="0" borderId="0" xfId="1" applyNumberFormat="1" applyFont="1" applyFill="1" applyBorder="1" applyAlignment="1">
      <alignment vertical="top"/>
    </xf>
    <xf numFmtId="164" fontId="4" fillId="0" borderId="0" xfId="2" applyNumberFormat="1" applyFont="1" applyFill="1" applyBorder="1" applyAlignment="1">
      <alignment vertical="top"/>
    </xf>
    <xf numFmtId="164" fontId="7" fillId="0" borderId="0" xfId="2" applyNumberFormat="1" applyFont="1" applyFill="1" applyBorder="1" applyAlignment="1">
      <alignment vertical="top"/>
    </xf>
    <xf numFmtId="1" fontId="7" fillId="0" borderId="0" xfId="0" applyNumberFormat="1" applyFont="1" applyFill="1" applyBorder="1" applyAlignment="1">
      <alignment vertical="top" wrapText="1"/>
    </xf>
    <xf numFmtId="164" fontId="5" fillId="0" borderId="0" xfId="2" applyNumberFormat="1" applyFont="1" applyFill="1" applyBorder="1" applyAlignment="1">
      <alignment vertical="top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wrapText="1"/>
    </xf>
    <xf numFmtId="0" fontId="6" fillId="0" borderId="1" xfId="0" applyFont="1" applyFill="1" applyBorder="1" applyAlignment="1">
      <alignment textRotation="90" wrapText="1"/>
    </xf>
    <xf numFmtId="0" fontId="7" fillId="0" borderId="0" xfId="0" applyFont="1" applyFill="1" applyBorder="1" applyAlignment="1">
      <alignment horizontal="center" vertical="top" wrapText="1"/>
    </xf>
    <xf numFmtId="0" fontId="6" fillId="0" borderId="1" xfId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top" wrapText="1"/>
    </xf>
    <xf numFmtId="3" fontId="7" fillId="0" borderId="1" xfId="0" applyNumberFormat="1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right" vertical="top"/>
    </xf>
    <xf numFmtId="0" fontId="7" fillId="0" borderId="0" xfId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right" vertical="top"/>
    </xf>
    <xf numFmtId="0" fontId="4" fillId="4" borderId="0" xfId="0" applyFont="1" applyFill="1" applyBorder="1" applyAlignment="1">
      <alignment vertical="top"/>
    </xf>
    <xf numFmtId="3" fontId="9" fillId="3" borderId="0" xfId="1" applyNumberFormat="1" applyFont="1" applyFill="1" applyBorder="1" applyAlignment="1">
      <alignment vertical="top"/>
    </xf>
    <xf numFmtId="164" fontId="9" fillId="3" borderId="0" xfId="2" applyNumberFormat="1" applyFont="1" applyFill="1" applyBorder="1" applyAlignment="1">
      <alignment vertical="top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10" fillId="5" borderId="2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6" fillId="0" borderId="1" xfId="1" applyFont="1" applyFill="1" applyBorder="1" applyAlignment="1">
      <alignment textRotation="90" wrapText="1"/>
    </xf>
    <xf numFmtId="3" fontId="4" fillId="0" borderId="1" xfId="0" applyNumberFormat="1" applyFont="1" applyFill="1" applyBorder="1" applyAlignment="1">
      <alignment vertical="top"/>
    </xf>
    <xf numFmtId="3" fontId="7" fillId="0" borderId="0" xfId="1" applyNumberFormat="1" applyFont="1" applyFill="1" applyBorder="1" applyAlignment="1">
      <alignment horizontal="center" vertical="top"/>
    </xf>
    <xf numFmtId="3" fontId="9" fillId="3" borderId="0" xfId="1" applyNumberFormat="1" applyFont="1" applyFill="1" applyBorder="1" applyAlignment="1">
      <alignment horizontal="center" vertical="top"/>
    </xf>
    <xf numFmtId="39" fontId="7" fillId="0" borderId="0" xfId="2" applyNumberFormat="1" applyFont="1" applyFill="1" applyBorder="1" applyAlignment="1">
      <alignment vertical="top"/>
    </xf>
    <xf numFmtId="165" fontId="7" fillId="0" borderId="0" xfId="2" applyNumberFormat="1" applyFont="1" applyFill="1" applyBorder="1" applyAlignment="1">
      <alignment vertical="top"/>
    </xf>
    <xf numFmtId="165" fontId="7" fillId="0" borderId="1" xfId="2" applyNumberFormat="1" applyFont="1" applyFill="1" applyBorder="1" applyAlignment="1">
      <alignment vertical="top"/>
    </xf>
    <xf numFmtId="39" fontId="7" fillId="0" borderId="1" xfId="2" applyNumberFormat="1" applyFont="1" applyFill="1" applyBorder="1" applyAlignment="1">
      <alignment vertical="top"/>
    </xf>
    <xf numFmtId="3" fontId="4" fillId="0" borderId="1" xfId="0" applyNumberFormat="1" applyFont="1" applyFill="1" applyBorder="1" applyAlignment="1">
      <alignment horizontal="center" vertical="top"/>
    </xf>
    <xf numFmtId="3" fontId="7" fillId="3" borderId="0" xfId="1" applyNumberFormat="1" applyFont="1" applyFill="1" applyBorder="1" applyAlignment="1">
      <alignment horizontal="center" vertical="top"/>
    </xf>
    <xf numFmtId="164" fontId="7" fillId="3" borderId="0" xfId="2" applyNumberFormat="1" applyFont="1" applyFill="1" applyBorder="1" applyAlignment="1">
      <alignment vertical="top"/>
    </xf>
    <xf numFmtId="0" fontId="10" fillId="0" borderId="2" xfId="0" applyFont="1" applyBorder="1" applyAlignment="1">
      <alignment vertical="center"/>
    </xf>
    <xf numFmtId="0" fontId="10" fillId="0" borderId="2" xfId="0" applyFont="1" applyBorder="1" applyAlignment="1">
      <alignment horizontal="center" vertical="center"/>
    </xf>
    <xf numFmtId="0" fontId="6" fillId="6" borderId="1" xfId="1" applyFont="1" applyFill="1" applyBorder="1" applyAlignment="1">
      <alignment wrapText="1"/>
    </xf>
    <xf numFmtId="0" fontId="6" fillId="6" borderId="1" xfId="1" applyFont="1" applyFill="1" applyBorder="1" applyAlignment="1">
      <alignment horizontal="center" textRotation="90" wrapText="1"/>
    </xf>
    <xf numFmtId="0" fontId="8" fillId="6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wrapText="1"/>
    </xf>
    <xf numFmtId="3" fontId="4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vertical="top"/>
    </xf>
    <xf numFmtId="43" fontId="4" fillId="0" borderId="0" xfId="0" applyNumberFormat="1" applyFont="1" applyFill="1" applyBorder="1" applyAlignment="1">
      <alignment vertical="top"/>
    </xf>
    <xf numFmtId="1" fontId="4" fillId="0" borderId="0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vertical="top"/>
    </xf>
    <xf numFmtId="3" fontId="8" fillId="0" borderId="0" xfId="0" applyNumberFormat="1" applyFont="1" applyFill="1" applyBorder="1" applyAlignment="1">
      <alignment vertical="top"/>
    </xf>
    <xf numFmtId="3" fontId="8" fillId="0" borderId="0" xfId="0" applyNumberFormat="1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vertical="top"/>
    </xf>
    <xf numFmtId="165" fontId="12" fillId="0" borderId="0" xfId="0" applyNumberFormat="1" applyFont="1" applyFill="1" applyBorder="1" applyAlignment="1">
      <alignment vertical="top"/>
    </xf>
    <xf numFmtId="2" fontId="4" fillId="0" borderId="0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vertical="top"/>
    </xf>
    <xf numFmtId="0" fontId="6" fillId="7" borderId="1" xfId="1" applyFont="1" applyFill="1" applyBorder="1" applyAlignment="1">
      <alignment wrapText="1"/>
    </xf>
    <xf numFmtId="0" fontId="8" fillId="7" borderId="0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8" fillId="2" borderId="0" xfId="0" applyFont="1" applyFill="1" applyBorder="1" applyAlignment="1">
      <alignment horizontal="center" vertical="top"/>
    </xf>
  </cellXfs>
  <cellStyles count="3">
    <cellStyle name="Comma" xfId="2" builtinId="3"/>
    <cellStyle name="Normal" xfId="0" builtinId="0"/>
    <cellStyle name="Normal 2" xfId="1" xr:uid="{CFF722EC-5E78-41A3-B169-1010FDF533BE}"/>
  </cellStyles>
  <dxfs count="15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solid">
          <bgColor theme="7" tint="0.79998168889431442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Halevi,Shanee J" id="{72FB5F40-1D99-471F-A7A4-0CC8E387769E}" userId="S::shalevi@covanta.com::6c496d4a-512c-494b-9e4e-09fe2e6edae7" providerId="AD"/>
  <person displayName="Van Brunt,Michael" id="{C452C5B1-690C-4E8C-806E-DD1ABBAD4A65}" userId="S::MVanBrunt@covanta.com::0d8b3a29-b063-4752-9d2d-ea3468976dbc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Halevi,Shanee J" refreshedDate="44274.353729629627" createdVersion="6" refreshedVersion="6" minRefreshableVersion="3" recordCount="136" xr:uid="{810D2905-3399-4BAD-8D6B-B042A0407078}">
  <cacheSource type="worksheet">
    <worksheetSource ref="B3:E139" sheet="EIA data"/>
  </cacheSource>
  <cacheFields count="4">
    <cacheField name="Facility" numFmtId="0">
      <sharedItems count="68">
        <s v="Bay County Waste to Energy"/>
        <s v="Camden Resource Recovery Facility"/>
        <s v="Covanta Alexandria/Arlington Energy"/>
        <s v="Covanta Babylon Inc"/>
        <s v="Covanta Bristol Energy"/>
        <s v="Covanta Delaware Valley"/>
        <s v="Covanta Essex Company"/>
        <s v="Covanta Fairfax Energy"/>
        <s v="Covanta Haverhill"/>
        <s v="Covanta Hempstead"/>
        <s v="Covanta Hennepin Energy"/>
        <s v="Covanta Indianapolis Energy"/>
        <s v="Covanta Lake County Energy"/>
        <s v="Covanta Marion Inc"/>
        <s v="Covanta Niagara I, LLC"/>
        <s v="Covanta Plymouth Renewable Energy"/>
        <s v="Covanta Southeastern Connecticut Company"/>
        <s v="Covanta Stanislaus Energy"/>
        <s v="Covanta Tulsa Renewable Energy LLC"/>
        <s v="Covanta Warren Energy"/>
        <s v="CT Resource Rec Authority Facility"/>
        <s v="Dutchess Cnty Resource Recovery Facility"/>
        <s v="Elk River"/>
        <s v="French Island"/>
        <s v="Greater Detroit Resource Recovery"/>
        <s v="H Power"/>
        <s v="Harrisburg Facility"/>
        <s v="Hillsborough County Resource Recovery"/>
        <s v="Huntington Resource Recovery Facility"/>
        <s v="Kent County Waste to Energy Facility"/>
        <s v="Lancaster County Resource Recovery"/>
        <s v="Lee County Solid Waste Energy"/>
        <s v="MacArthur Waste to Energy Facility"/>
        <s v="McKay Bay Facility"/>
        <s v="Miami Dade County Resource Recovery Fac"/>
        <s v="MMWAC Resource Recovery Facility"/>
        <s v="Montgomery County Resource Recovery"/>
        <s v="Olmsted Waste Energy"/>
        <s v="Onondaga County Resource Recovery"/>
        <s v="Oswego County Energy Recovery"/>
        <s v="Palm Beach Renewable Energy Facility 1"/>
        <s v="Palm Beach Renewable Energy Facility 2"/>
        <s v="Pasco Cnty Solid Waste Resource Recovery"/>
        <s v="Penobscot Energy Recovery"/>
        <s v="Pinellas County Resource Recovery"/>
        <s v="Pioneer Valley Resource Recovery"/>
        <s v="Red Wing"/>
        <s v="Regional Waste Systems"/>
        <s v="SEMASS Resource Recovery"/>
        <s v="Southeast Resource Recovery"/>
        <s v="Spokane Waste to Energy"/>
        <s v="State-Fuel Level Increment"/>
        <s v="Union County Resource Recovery"/>
        <s v="Wheelabrator Baltimore Refuse"/>
        <s v="Wheelabrator Bridgeport"/>
        <s v="Wheelabrator Concord Facility"/>
        <s v="Wheelabrator Falls"/>
        <s v="Wheelabrator Gloucester LP"/>
        <s v="Wheelabrator Hudson Falls"/>
        <s v="Wheelabrator Lisbon"/>
        <s v="Wheelabrator Millbury Facility"/>
        <s v="Wheelabrator North Andover"/>
        <s v="Wheelabrator Portsmouth"/>
        <s v="Wheelabrator Saugus"/>
        <s v="Wheelabrator South Broward"/>
        <s v="Wheelabrator Westchester"/>
        <s v="Wilmarth"/>
        <s v="York County Resource Recovery"/>
      </sharedItems>
    </cacheField>
    <cacheField name="msw type" numFmtId="0">
      <sharedItems count="2">
        <s v="MSW Biogenic"/>
        <s v="MSW Fossil"/>
      </sharedItems>
    </cacheField>
    <cacheField name="physical unit" numFmtId="0">
      <sharedItems count="1">
        <s v="short tons"/>
      </sharedItems>
    </cacheField>
    <cacheField name="quantity" numFmtId="0">
      <sharedItems containsSemiMixedTypes="0" containsString="0" containsNumber="1" containsInteger="1" minValue="0" maxValue="7383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6">
  <r>
    <x v="0"/>
    <x v="0"/>
    <x v="0"/>
    <n v="51735"/>
  </r>
  <r>
    <x v="0"/>
    <x v="1"/>
    <x v="0"/>
    <n v="33079"/>
  </r>
  <r>
    <x v="1"/>
    <x v="0"/>
    <x v="0"/>
    <n v="226241"/>
  </r>
  <r>
    <x v="1"/>
    <x v="1"/>
    <x v="0"/>
    <n v="144642"/>
  </r>
  <r>
    <x v="2"/>
    <x v="0"/>
    <x v="0"/>
    <n v="213619"/>
  </r>
  <r>
    <x v="2"/>
    <x v="1"/>
    <x v="0"/>
    <n v="136576"/>
  </r>
  <r>
    <x v="3"/>
    <x v="0"/>
    <x v="0"/>
    <n v="151748"/>
  </r>
  <r>
    <x v="3"/>
    <x v="1"/>
    <x v="0"/>
    <n v="97015"/>
  </r>
  <r>
    <x v="4"/>
    <x v="0"/>
    <x v="0"/>
    <n v="135874"/>
  </r>
  <r>
    <x v="4"/>
    <x v="1"/>
    <x v="0"/>
    <n v="86869"/>
  </r>
  <r>
    <x v="5"/>
    <x v="0"/>
    <x v="0"/>
    <n v="738396"/>
  </r>
  <r>
    <x v="5"/>
    <x v="1"/>
    <x v="0"/>
    <n v="472098"/>
  </r>
  <r>
    <x v="6"/>
    <x v="0"/>
    <x v="0"/>
    <n v="601155"/>
  </r>
  <r>
    <x v="6"/>
    <x v="1"/>
    <x v="0"/>
    <n v="384347"/>
  </r>
  <r>
    <x v="7"/>
    <x v="0"/>
    <x v="0"/>
    <n v="721331"/>
  </r>
  <r>
    <x v="7"/>
    <x v="1"/>
    <x v="0"/>
    <n v="461172"/>
  </r>
  <r>
    <x v="8"/>
    <x v="0"/>
    <x v="0"/>
    <n v="374114"/>
  </r>
  <r>
    <x v="8"/>
    <x v="1"/>
    <x v="0"/>
    <n v="239188"/>
  </r>
  <r>
    <x v="9"/>
    <x v="0"/>
    <x v="0"/>
    <n v="610217"/>
  </r>
  <r>
    <x v="9"/>
    <x v="1"/>
    <x v="0"/>
    <n v="390141"/>
  </r>
  <r>
    <x v="10"/>
    <x v="0"/>
    <x v="0"/>
    <n v="209879"/>
  </r>
  <r>
    <x v="10"/>
    <x v="1"/>
    <x v="0"/>
    <n v="134185"/>
  </r>
  <r>
    <x v="11"/>
    <x v="0"/>
    <x v="0"/>
    <n v="421462"/>
  </r>
  <r>
    <x v="11"/>
    <x v="1"/>
    <x v="0"/>
    <n v="269461"/>
  </r>
  <r>
    <x v="12"/>
    <x v="0"/>
    <x v="0"/>
    <n v="94387"/>
  </r>
  <r>
    <x v="12"/>
    <x v="1"/>
    <x v="0"/>
    <n v="60346"/>
  </r>
  <r>
    <x v="13"/>
    <x v="0"/>
    <x v="0"/>
    <n v="114155"/>
  </r>
  <r>
    <x v="13"/>
    <x v="1"/>
    <x v="0"/>
    <n v="72986"/>
  </r>
  <r>
    <x v="14"/>
    <x v="0"/>
    <x v="0"/>
    <n v="500240"/>
  </r>
  <r>
    <x v="14"/>
    <x v="1"/>
    <x v="0"/>
    <n v="319826"/>
  </r>
  <r>
    <x v="15"/>
    <x v="0"/>
    <x v="0"/>
    <n v="239914"/>
  </r>
  <r>
    <x v="15"/>
    <x v="1"/>
    <x v="0"/>
    <n v="153388"/>
  </r>
  <r>
    <x v="16"/>
    <x v="0"/>
    <x v="0"/>
    <n v="153923"/>
  </r>
  <r>
    <x v="16"/>
    <x v="1"/>
    <x v="0"/>
    <n v="98410"/>
  </r>
  <r>
    <x v="17"/>
    <x v="0"/>
    <x v="0"/>
    <n v="165443"/>
  </r>
  <r>
    <x v="17"/>
    <x v="1"/>
    <x v="0"/>
    <n v="105779"/>
  </r>
  <r>
    <x v="18"/>
    <x v="0"/>
    <x v="0"/>
    <n v="197390"/>
  </r>
  <r>
    <x v="18"/>
    <x v="1"/>
    <x v="0"/>
    <n v="126201"/>
  </r>
  <r>
    <x v="19"/>
    <x v="0"/>
    <x v="0"/>
    <n v="11401"/>
  </r>
  <r>
    <x v="19"/>
    <x v="1"/>
    <x v="0"/>
    <n v="7288"/>
  </r>
  <r>
    <x v="20"/>
    <x v="0"/>
    <x v="0"/>
    <n v="303964"/>
  </r>
  <r>
    <x v="20"/>
    <x v="1"/>
    <x v="0"/>
    <n v="194334"/>
  </r>
  <r>
    <x v="21"/>
    <x v="0"/>
    <x v="0"/>
    <n v="92125"/>
  </r>
  <r>
    <x v="21"/>
    <x v="1"/>
    <x v="0"/>
    <n v="58900"/>
  </r>
  <r>
    <x v="22"/>
    <x v="0"/>
    <x v="0"/>
    <n v="5674"/>
  </r>
  <r>
    <x v="22"/>
    <x v="1"/>
    <x v="0"/>
    <n v="3628"/>
  </r>
  <r>
    <x v="23"/>
    <x v="0"/>
    <x v="0"/>
    <n v="35106"/>
  </r>
  <r>
    <x v="23"/>
    <x v="1"/>
    <x v="0"/>
    <n v="22446"/>
  </r>
  <r>
    <x v="24"/>
    <x v="0"/>
    <x v="0"/>
    <n v="99002"/>
  </r>
  <r>
    <x v="24"/>
    <x v="1"/>
    <x v="0"/>
    <n v="63297"/>
  </r>
  <r>
    <x v="25"/>
    <x v="0"/>
    <x v="0"/>
    <n v="453635"/>
  </r>
  <r>
    <x v="25"/>
    <x v="1"/>
    <x v="0"/>
    <n v="290030"/>
  </r>
  <r>
    <x v="26"/>
    <x v="0"/>
    <x v="0"/>
    <n v="173350"/>
  </r>
  <r>
    <x v="26"/>
    <x v="1"/>
    <x v="0"/>
    <n v="110830"/>
  </r>
  <r>
    <x v="27"/>
    <x v="0"/>
    <x v="0"/>
    <n v="295406"/>
  </r>
  <r>
    <x v="27"/>
    <x v="1"/>
    <x v="0"/>
    <n v="188864"/>
  </r>
  <r>
    <x v="28"/>
    <x v="0"/>
    <x v="0"/>
    <n v="211557"/>
  </r>
  <r>
    <x v="28"/>
    <x v="1"/>
    <x v="0"/>
    <n v="135256"/>
  </r>
  <r>
    <x v="29"/>
    <x v="0"/>
    <x v="0"/>
    <n v="113504"/>
  </r>
  <r>
    <x v="29"/>
    <x v="1"/>
    <x v="0"/>
    <n v="72568"/>
  </r>
  <r>
    <x v="30"/>
    <x v="0"/>
    <x v="0"/>
    <n v="247666"/>
  </r>
  <r>
    <x v="30"/>
    <x v="1"/>
    <x v="0"/>
    <n v="158345"/>
  </r>
  <r>
    <x v="31"/>
    <x v="0"/>
    <x v="0"/>
    <n v="376188"/>
  </r>
  <r>
    <x v="31"/>
    <x v="1"/>
    <x v="0"/>
    <n v="240516"/>
  </r>
  <r>
    <x v="32"/>
    <x v="0"/>
    <x v="0"/>
    <n v="102641"/>
  </r>
  <r>
    <x v="32"/>
    <x v="1"/>
    <x v="0"/>
    <n v="65622"/>
  </r>
  <r>
    <x v="33"/>
    <x v="0"/>
    <x v="0"/>
    <n v="189189"/>
  </r>
  <r>
    <x v="33"/>
    <x v="1"/>
    <x v="0"/>
    <n v="120956"/>
  </r>
  <r>
    <x v="34"/>
    <x v="0"/>
    <x v="0"/>
    <n v="383971"/>
  </r>
  <r>
    <x v="34"/>
    <x v="1"/>
    <x v="0"/>
    <n v="245492"/>
  </r>
  <r>
    <x v="35"/>
    <x v="0"/>
    <x v="0"/>
    <n v="43675"/>
  </r>
  <r>
    <x v="35"/>
    <x v="1"/>
    <x v="0"/>
    <n v="27924"/>
  </r>
  <r>
    <x v="36"/>
    <x v="0"/>
    <x v="0"/>
    <n v="367667"/>
  </r>
  <r>
    <x v="36"/>
    <x v="1"/>
    <x v="0"/>
    <n v="235069"/>
  </r>
  <r>
    <x v="37"/>
    <x v="0"/>
    <x v="0"/>
    <n v="71064"/>
  </r>
  <r>
    <x v="37"/>
    <x v="1"/>
    <x v="0"/>
    <n v="45434"/>
  </r>
  <r>
    <x v="38"/>
    <x v="0"/>
    <x v="0"/>
    <n v="221208"/>
  </r>
  <r>
    <x v="38"/>
    <x v="1"/>
    <x v="0"/>
    <n v="141427"/>
  </r>
  <r>
    <x v="39"/>
    <x v="0"/>
    <x v="0"/>
    <n v="32831"/>
  </r>
  <r>
    <x v="39"/>
    <x v="1"/>
    <x v="0"/>
    <n v="20990"/>
  </r>
  <r>
    <x v="40"/>
    <x v="0"/>
    <x v="0"/>
    <n v="351390"/>
  </r>
  <r>
    <x v="40"/>
    <x v="1"/>
    <x v="0"/>
    <n v="224658"/>
  </r>
  <r>
    <x v="41"/>
    <x v="0"/>
    <x v="0"/>
    <n v="599343"/>
  </r>
  <r>
    <x v="41"/>
    <x v="1"/>
    <x v="0"/>
    <n v="383190"/>
  </r>
  <r>
    <x v="42"/>
    <x v="0"/>
    <x v="0"/>
    <n v="208322"/>
  </r>
  <r>
    <x v="42"/>
    <x v="1"/>
    <x v="0"/>
    <n v="133190"/>
  </r>
  <r>
    <x v="43"/>
    <x v="0"/>
    <x v="0"/>
    <n v="96289"/>
  </r>
  <r>
    <x v="43"/>
    <x v="1"/>
    <x v="0"/>
    <n v="61562"/>
  </r>
  <r>
    <x v="44"/>
    <x v="0"/>
    <x v="0"/>
    <n v="517899"/>
  </r>
  <r>
    <x v="44"/>
    <x v="1"/>
    <x v="0"/>
    <n v="331118"/>
  </r>
  <r>
    <x v="45"/>
    <x v="0"/>
    <x v="0"/>
    <n v="68178"/>
  </r>
  <r>
    <x v="45"/>
    <x v="1"/>
    <x v="0"/>
    <n v="43589"/>
  </r>
  <r>
    <x v="46"/>
    <x v="0"/>
    <x v="0"/>
    <n v="145927"/>
  </r>
  <r>
    <x v="46"/>
    <x v="1"/>
    <x v="0"/>
    <n v="93297"/>
  </r>
  <r>
    <x v="47"/>
    <x v="0"/>
    <x v="0"/>
    <n v="107989"/>
  </r>
  <r>
    <x v="47"/>
    <x v="1"/>
    <x v="0"/>
    <n v="69045"/>
  </r>
  <r>
    <x v="48"/>
    <x v="0"/>
    <x v="0"/>
    <n v="656572"/>
  </r>
  <r>
    <x v="48"/>
    <x v="1"/>
    <x v="0"/>
    <n v="419770"/>
  </r>
  <r>
    <x v="49"/>
    <x v="0"/>
    <x v="0"/>
    <n v="233365"/>
  </r>
  <r>
    <x v="49"/>
    <x v="1"/>
    <x v="0"/>
    <n v="149194"/>
  </r>
  <r>
    <x v="50"/>
    <x v="0"/>
    <x v="0"/>
    <n v="150132"/>
  </r>
  <r>
    <x v="50"/>
    <x v="1"/>
    <x v="0"/>
    <n v="95987"/>
  </r>
  <r>
    <x v="51"/>
    <x v="0"/>
    <x v="0"/>
    <n v="0"/>
  </r>
  <r>
    <x v="51"/>
    <x v="1"/>
    <x v="0"/>
    <n v="0"/>
  </r>
  <r>
    <x v="52"/>
    <x v="0"/>
    <x v="0"/>
    <n v="329783"/>
  </r>
  <r>
    <x v="52"/>
    <x v="1"/>
    <x v="0"/>
    <n v="210847"/>
  </r>
  <r>
    <x v="53"/>
    <x v="0"/>
    <x v="0"/>
    <n v="410158"/>
  </r>
  <r>
    <x v="53"/>
    <x v="1"/>
    <x v="0"/>
    <n v="262229"/>
  </r>
  <r>
    <x v="54"/>
    <x v="0"/>
    <x v="0"/>
    <n v="445952"/>
  </r>
  <r>
    <x v="54"/>
    <x v="1"/>
    <x v="0"/>
    <n v="285114"/>
  </r>
  <r>
    <x v="55"/>
    <x v="0"/>
    <x v="0"/>
    <n v="116027"/>
  </r>
  <r>
    <x v="55"/>
    <x v="1"/>
    <x v="0"/>
    <n v="74183"/>
  </r>
  <r>
    <x v="56"/>
    <x v="0"/>
    <x v="0"/>
    <n v="293081"/>
  </r>
  <r>
    <x v="56"/>
    <x v="1"/>
    <x v="0"/>
    <n v="187380"/>
  </r>
  <r>
    <x v="57"/>
    <x v="0"/>
    <x v="0"/>
    <n v="111950"/>
  </r>
  <r>
    <x v="57"/>
    <x v="1"/>
    <x v="0"/>
    <n v="71576"/>
  </r>
  <r>
    <x v="58"/>
    <x v="0"/>
    <x v="0"/>
    <n v="92858"/>
  </r>
  <r>
    <x v="58"/>
    <x v="1"/>
    <x v="0"/>
    <n v="59365"/>
  </r>
  <r>
    <x v="59"/>
    <x v="0"/>
    <x v="0"/>
    <n v="113099"/>
  </r>
  <r>
    <x v="59"/>
    <x v="1"/>
    <x v="0"/>
    <n v="72307"/>
  </r>
  <r>
    <x v="60"/>
    <x v="0"/>
    <x v="0"/>
    <n v="290992"/>
  </r>
  <r>
    <x v="60"/>
    <x v="1"/>
    <x v="0"/>
    <n v="186043"/>
  </r>
  <r>
    <x v="61"/>
    <x v="0"/>
    <x v="0"/>
    <n v="258813"/>
  </r>
  <r>
    <x v="61"/>
    <x v="1"/>
    <x v="0"/>
    <n v="165472"/>
  </r>
  <r>
    <x v="62"/>
    <x v="0"/>
    <x v="0"/>
    <n v="364017"/>
  </r>
  <r>
    <x v="62"/>
    <x v="1"/>
    <x v="0"/>
    <n v="232731"/>
  </r>
  <r>
    <x v="63"/>
    <x v="0"/>
    <x v="0"/>
    <n v="225939"/>
  </r>
  <r>
    <x v="63"/>
    <x v="1"/>
    <x v="0"/>
    <n v="144453"/>
  </r>
  <r>
    <x v="64"/>
    <x v="0"/>
    <x v="0"/>
    <n v="477429"/>
  </r>
  <r>
    <x v="64"/>
    <x v="1"/>
    <x v="0"/>
    <n v="305237"/>
  </r>
  <r>
    <x v="65"/>
    <x v="0"/>
    <x v="0"/>
    <n v="409702"/>
  </r>
  <r>
    <x v="65"/>
    <x v="1"/>
    <x v="0"/>
    <n v="261943"/>
  </r>
  <r>
    <x v="66"/>
    <x v="0"/>
    <x v="0"/>
    <n v="110782"/>
  </r>
  <r>
    <x v="66"/>
    <x v="1"/>
    <x v="0"/>
    <n v="70823"/>
  </r>
  <r>
    <x v="67"/>
    <x v="0"/>
    <x v="0"/>
    <n v="287224"/>
  </r>
  <r>
    <x v="67"/>
    <x v="1"/>
    <x v="0"/>
    <n v="1836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138CBD9-6D3E-4EE8-B428-E652CB26667E}" name="PivotTable1" cacheId="0" applyNumberFormats="0" applyBorderFormats="0" applyFontFormats="0" applyPatternFormats="0" applyAlignmentFormats="0" applyWidthHeightFormats="1" dataCaption="Values" updatedVersion="6" minRefreshableVersion="3" useAutoFormatting="1" colGrandTotals="0" itemPrintTitles="1" createdVersion="6" indent="0" outline="1" outlineData="1" multipleFieldFilters="0">
  <location ref="H1:J72" firstHeaderRow="1" firstDataRow="3" firstDataCol="1"/>
  <pivotFields count="4">
    <pivotField axis="axisRow" showAll="0" defaultSubtotal="0">
      <items count="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</items>
    </pivotField>
    <pivotField axis="axisCol" showAll="0" defaultSubtotal="0">
      <items count="2">
        <item x="0"/>
        <item x="1"/>
      </items>
    </pivotField>
    <pivotField axis="axisCol" showAll="0" defaultSubtotal="0">
      <items count="1">
        <item x="0"/>
      </items>
    </pivotField>
    <pivotField dataField="1" showAll="0" defaultSubtotal="0"/>
  </pivotFields>
  <rowFields count="1">
    <field x="0"/>
  </rowFields>
  <rowItems count="6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 t="grand">
      <x/>
    </i>
  </rowItems>
  <colFields count="2">
    <field x="1"/>
    <field x="2"/>
  </colFields>
  <colItems count="2">
    <i>
      <x/>
      <x/>
    </i>
    <i>
      <x v="1"/>
      <x/>
    </i>
  </colItems>
  <dataFields count="1">
    <dataField name="Sum of quantity" fld="3" baseField="0" baseItem="0"/>
  </dataFields>
  <formats count="15">
    <format dxfId="14">
      <pivotArea dataOnly="0" fieldPosition="0">
        <references count="1">
          <reference field="0" count="1">
            <x v="16"/>
          </reference>
        </references>
      </pivotArea>
    </format>
    <format dxfId="13">
      <pivotArea collapsedLevelsAreSubtotals="1" fieldPosition="0">
        <references count="1">
          <reference field="0" count="1">
            <x v="22"/>
          </reference>
        </references>
      </pivotArea>
    </format>
    <format dxfId="12">
      <pivotArea dataOnly="0" labelOnly="1" fieldPosition="0">
        <references count="1">
          <reference field="0" count="1">
            <x v="22"/>
          </reference>
        </references>
      </pivotArea>
    </format>
    <format dxfId="11">
      <pivotArea collapsedLevelsAreSubtotals="1" fieldPosition="0">
        <references count="1">
          <reference field="0" count="1">
            <x v="45"/>
          </reference>
        </references>
      </pivotArea>
    </format>
    <format dxfId="10">
      <pivotArea dataOnly="0" labelOnly="1" fieldPosition="0">
        <references count="1">
          <reference field="0" count="1">
            <x v="45"/>
          </reference>
        </references>
      </pivotArea>
    </format>
    <format dxfId="9">
      <pivotArea collapsedLevelsAreSubtotals="1" fieldPosition="0">
        <references count="1">
          <reference field="0" count="1">
            <x v="35"/>
          </reference>
        </references>
      </pivotArea>
    </format>
    <format dxfId="8">
      <pivotArea dataOnly="0" labelOnly="1" fieldPosition="0">
        <references count="1">
          <reference field="0" count="1">
            <x v="35"/>
          </reference>
        </references>
      </pivotArea>
    </format>
    <format dxfId="7">
      <pivotArea collapsedLevelsAreSubtotals="1" fieldPosition="0">
        <references count="1">
          <reference field="0" count="1">
            <x v="20"/>
          </reference>
        </references>
      </pivotArea>
    </format>
    <format dxfId="6">
      <pivotArea dataOnly="0" labelOnly="1" fieldPosition="0">
        <references count="1">
          <reference field="0" count="1">
            <x v="20"/>
          </reference>
        </references>
      </pivotArea>
    </format>
    <format dxfId="5">
      <pivotArea collapsedLevelsAreSubtotals="1" fieldPosition="0">
        <references count="1">
          <reference field="0" count="1">
            <x v="23"/>
          </reference>
        </references>
      </pivotArea>
    </format>
    <format dxfId="4">
      <pivotArea dataOnly="0" labelOnly="1" fieldPosition="0">
        <references count="1">
          <reference field="0" count="1">
            <x v="23"/>
          </reference>
        </references>
      </pivotArea>
    </format>
    <format dxfId="3">
      <pivotArea collapsedLevelsAreSubtotals="1" fieldPosition="0">
        <references count="1">
          <reference field="0" count="1">
            <x v="46"/>
          </reference>
        </references>
      </pivotArea>
    </format>
    <format dxfId="2">
      <pivotArea dataOnly="0" labelOnly="1" fieldPosition="0">
        <references count="1">
          <reference field="0" count="1">
            <x v="46"/>
          </reference>
        </references>
      </pivotArea>
    </format>
    <format dxfId="1">
      <pivotArea collapsedLevelsAreSubtotals="1" fieldPosition="0">
        <references count="1">
          <reference field="0" count="1">
            <x v="66"/>
          </reference>
        </references>
      </pivotArea>
    </format>
    <format dxfId="0">
      <pivotArea dataOnly="0" labelOnly="1" fieldPosition="0">
        <references count="1">
          <reference field="0" count="1">
            <x v="66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20" dT="2021-03-17T13:51:26.10" personId="{72FB5F40-1D99-471F-A7A4-0CC8E387769E}" id="{D5D82DBC-88A7-4498-9040-77CB372D4812}">
    <text>REMOVED LF CH4</text>
  </threadedComment>
  <threadedComment ref="T21" dT="2021-03-17T13:51:30.32" personId="{72FB5F40-1D99-471F-A7A4-0CC8E387769E}" id="{9BF0293B-0D7B-4A61-B50E-750F726E7715}">
    <text>REMOVED LF CH4</text>
  </threadedComment>
  <threadedComment ref="Q49" dT="2021-03-17T13:51:06.02" personId="{72FB5F40-1D99-471F-A7A4-0CC8E387769E}" id="{C5F8AAE0-012C-4BD6-86D8-A983F5FA421F}">
    <text>SEEMS OFF</text>
  </threadedComment>
  <threadedComment ref="Q49" dT="2021-03-24T21:01:44.53" personId="{C452C5B1-690C-4E8C-806E-DD1ABBAD4A65}" id="{0466E06C-E7A2-416A-86E5-8A6AD1A83F1A}" parentId="{C5F8AAE0-012C-4BD6-86D8-A983F5FA421F}">
    <text>Check against what we reported for 2019.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767B6-E60C-4BB1-AD04-A9FA2528C2A0}">
  <sheetPr codeName="Sheet1"/>
  <dimension ref="A2:AD82"/>
  <sheetViews>
    <sheetView tabSelected="1" zoomScale="80" zoomScaleNormal="80"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I2" sqref="I2:M2"/>
    </sheetView>
  </sheetViews>
  <sheetFormatPr defaultColWidth="8.7265625" defaultRowHeight="13" x14ac:dyDescent="0.35"/>
  <cols>
    <col min="1" max="1" width="37.1796875" style="11" customWidth="1"/>
    <col min="2" max="2" width="11.1796875" style="11" customWidth="1"/>
    <col min="3" max="3" width="9.1796875" style="11" customWidth="1"/>
    <col min="4" max="4" width="35.81640625" style="11" customWidth="1"/>
    <col min="5" max="5" width="10.81640625" style="11" customWidth="1"/>
    <col min="6" max="6" width="3.453125" style="11" customWidth="1"/>
    <col min="7" max="7" width="9.1796875" style="27" customWidth="1"/>
    <col min="8" max="8" width="11.1796875" style="11" customWidth="1"/>
    <col min="9" max="9" width="6.453125" style="27" customWidth="1"/>
    <col min="10" max="10" width="8.7265625" style="11" customWidth="1"/>
    <col min="11" max="11" width="11.7265625" style="11" customWidth="1"/>
    <col min="12" max="13" width="8.7265625" style="11" customWidth="1"/>
    <col min="14" max="14" width="27.26953125" style="11" customWidth="1"/>
    <col min="15" max="15" width="33.7265625" style="11" customWidth="1"/>
    <col min="16" max="16" width="11.1796875" style="11" customWidth="1"/>
    <col min="17" max="17" width="12.453125" style="11" customWidth="1"/>
    <col min="18" max="18" width="3.08984375" style="27" bestFit="1" customWidth="1"/>
    <col min="19" max="19" width="11.7265625" style="11" customWidth="1"/>
    <col min="20" max="20" width="9.54296875" style="11" customWidth="1"/>
    <col min="21" max="21" width="10.453125" style="11" customWidth="1"/>
    <col min="22" max="24" width="11.54296875" style="11" customWidth="1"/>
    <col min="25" max="25" width="12" style="11" customWidth="1"/>
    <col min="26" max="26" width="11.6328125" style="11" bestFit="1" customWidth="1"/>
    <col min="27" max="27" width="9" style="11" bestFit="1" customWidth="1"/>
    <col min="28" max="28" width="3.08984375" style="11" bestFit="1" customWidth="1"/>
    <col min="29" max="29" width="13.6328125" style="11" bestFit="1" customWidth="1"/>
    <col min="30" max="30" width="13.54296875" style="11" customWidth="1"/>
    <col min="31" max="16384" width="8.7265625" style="11"/>
  </cols>
  <sheetData>
    <row r="2" spans="1:30" x14ac:dyDescent="0.35">
      <c r="I2" s="79" t="s">
        <v>513</v>
      </c>
      <c r="J2" s="79"/>
      <c r="K2" s="79"/>
      <c r="L2" s="79"/>
      <c r="M2" s="79"/>
      <c r="Q2" s="60" t="s">
        <v>510</v>
      </c>
      <c r="R2" s="60"/>
      <c r="S2" s="60"/>
      <c r="T2" s="60"/>
      <c r="U2" s="60"/>
      <c r="V2" s="60"/>
      <c r="Y2" s="76" t="s">
        <v>511</v>
      </c>
      <c r="Z2" s="76"/>
      <c r="AA2" s="76"/>
    </row>
    <row r="3" spans="1:30" s="61" customFormat="1" ht="91.5" thickBot="1" x14ac:dyDescent="0.35">
      <c r="A3" s="21" t="s">
        <v>212</v>
      </c>
      <c r="B3" s="22" t="s">
        <v>0</v>
      </c>
      <c r="C3" s="23" t="s">
        <v>18</v>
      </c>
      <c r="D3" s="22" t="s">
        <v>222</v>
      </c>
      <c r="E3" s="21" t="s">
        <v>301</v>
      </c>
      <c r="F3" s="24" t="s">
        <v>300</v>
      </c>
      <c r="G3" s="26" t="s">
        <v>478</v>
      </c>
      <c r="H3" s="21" t="s">
        <v>302</v>
      </c>
      <c r="I3" s="77" t="s">
        <v>303</v>
      </c>
      <c r="J3" s="78" t="s">
        <v>304</v>
      </c>
      <c r="K3" s="78" t="s">
        <v>305</v>
      </c>
      <c r="L3" s="78" t="s">
        <v>306</v>
      </c>
      <c r="M3" s="78" t="s">
        <v>307</v>
      </c>
      <c r="N3" s="21" t="s">
        <v>308</v>
      </c>
      <c r="O3" s="21" t="s">
        <v>309</v>
      </c>
      <c r="P3" s="21" t="s">
        <v>512</v>
      </c>
      <c r="Q3" s="58" t="s">
        <v>299</v>
      </c>
      <c r="R3" s="59" t="s">
        <v>503</v>
      </c>
      <c r="S3" s="58" t="s">
        <v>39</v>
      </c>
      <c r="T3" s="58" t="s">
        <v>36</v>
      </c>
      <c r="U3" s="58" t="s">
        <v>37</v>
      </c>
      <c r="V3" s="58" t="s">
        <v>38</v>
      </c>
      <c r="W3" s="23" t="s">
        <v>508</v>
      </c>
      <c r="X3" s="23" t="s">
        <v>509</v>
      </c>
      <c r="Y3" s="75" t="s">
        <v>40</v>
      </c>
      <c r="Z3" s="75" t="s">
        <v>41</v>
      </c>
      <c r="AA3" s="75" t="s">
        <v>483</v>
      </c>
      <c r="AB3" s="45" t="s">
        <v>503</v>
      </c>
      <c r="AC3" s="23" t="s">
        <v>484</v>
      </c>
    </row>
    <row r="4" spans="1:30" ht="26" x14ac:dyDescent="0.35">
      <c r="A4" s="10" t="s">
        <v>310</v>
      </c>
      <c r="B4" s="34" t="s">
        <v>4</v>
      </c>
      <c r="C4" s="35">
        <v>1003244</v>
      </c>
      <c r="D4" s="11" t="s">
        <v>223</v>
      </c>
      <c r="E4" s="10" t="s">
        <v>125</v>
      </c>
      <c r="F4" s="12" t="s">
        <v>10</v>
      </c>
      <c r="G4" s="13">
        <v>35805</v>
      </c>
      <c r="H4" s="10" t="s">
        <v>126</v>
      </c>
      <c r="I4" s="25">
        <v>2</v>
      </c>
      <c r="J4" s="10">
        <v>690</v>
      </c>
      <c r="K4" s="10" t="s">
        <v>311</v>
      </c>
      <c r="L4" s="10">
        <v>178620</v>
      </c>
      <c r="M4" s="14">
        <v>0</v>
      </c>
      <c r="N4" s="10" t="s">
        <v>312</v>
      </c>
      <c r="O4" s="10" t="s">
        <v>313</v>
      </c>
      <c r="P4" s="15">
        <f t="shared" ref="P4:P35" si="0">ROUND(J4*365*0.9*0.3*0.35*(44/12)/1.1,-2)</f>
        <v>79300</v>
      </c>
      <c r="Q4" s="16">
        <v>98298</v>
      </c>
      <c r="R4" s="47"/>
      <c r="S4" s="17">
        <v>93745</v>
      </c>
      <c r="T4" s="18">
        <v>1776</v>
      </c>
      <c r="U4" s="18">
        <v>2778</v>
      </c>
      <c r="V4" s="18">
        <v>108314</v>
      </c>
      <c r="W4" s="50">
        <f>V4/(S4+V4)</f>
        <v>0.53605135133797555</v>
      </c>
      <c r="X4" s="49">
        <f>(S4+V4)*(12/44)/AA4</f>
        <v>0.2482297297297297</v>
      </c>
      <c r="Y4" s="37"/>
      <c r="Z4" s="37"/>
      <c r="AA4" s="62">
        <f>IF(SUM(Y4:Z4)=0,AC4,SUM(Y4:Z4))</f>
        <v>222000</v>
      </c>
      <c r="AB4" s="63" t="str">
        <f>IF(Y4+Z4=0,"Y","")</f>
        <v>Y</v>
      </c>
      <c r="AC4" s="64">
        <f>ROUND((T4/25*1000/(3.2*10^-2)/(5000*2000/10^6)),-3)</f>
        <v>222000</v>
      </c>
      <c r="AD4" s="65"/>
    </row>
    <row r="5" spans="1:30" ht="52" x14ac:dyDescent="0.35">
      <c r="A5" s="10" t="s">
        <v>31</v>
      </c>
      <c r="B5" s="34">
        <v>50837</v>
      </c>
      <c r="C5" s="35">
        <v>1003340</v>
      </c>
      <c r="D5" s="11" t="s">
        <v>247</v>
      </c>
      <c r="E5" s="10" t="s">
        <v>166</v>
      </c>
      <c r="F5" s="12" t="s">
        <v>13</v>
      </c>
      <c r="G5" s="13">
        <v>90802</v>
      </c>
      <c r="H5" s="10" t="s">
        <v>122</v>
      </c>
      <c r="I5" s="25">
        <v>3</v>
      </c>
      <c r="J5" s="10">
        <v>1380</v>
      </c>
      <c r="K5" s="10" t="s">
        <v>311</v>
      </c>
      <c r="L5" s="10"/>
      <c r="M5" s="10">
        <v>36</v>
      </c>
      <c r="N5" s="10" t="s">
        <v>314</v>
      </c>
      <c r="O5" s="10" t="s">
        <v>315</v>
      </c>
      <c r="P5" s="15">
        <f t="shared" si="0"/>
        <v>158700</v>
      </c>
      <c r="Q5" s="16">
        <v>138578</v>
      </c>
      <c r="R5" s="47"/>
      <c r="S5" s="17">
        <v>130554</v>
      </c>
      <c r="T5" s="17">
        <v>3130</v>
      </c>
      <c r="U5" s="17">
        <v>4894</v>
      </c>
      <c r="V5" s="17">
        <v>226771</v>
      </c>
      <c r="W5" s="50">
        <f t="shared" ref="W5:W68" si="1">V5/(S5+V5)</f>
        <v>0.63463513608059885</v>
      </c>
      <c r="X5" s="49">
        <f t="shared" ref="X5:X68" si="2">(S5+V5)*(12/44)/AA5</f>
        <v>0.25473789069731134</v>
      </c>
      <c r="Y5" s="17">
        <v>233365</v>
      </c>
      <c r="Z5" s="17">
        <v>149194</v>
      </c>
      <c r="AA5" s="62">
        <f t="shared" ref="AA5:AA68" si="3">IF(SUM(Y5:Z5)=0,AC5,SUM(Y5:Z5))</f>
        <v>382559</v>
      </c>
      <c r="AB5" s="63" t="str">
        <f t="shared" ref="AB5:AB68" si="4">IF(Y5+Z5=0,"Y","")</f>
        <v/>
      </c>
      <c r="AC5" s="64">
        <f t="shared" ref="AC5:AC68" si="5">ROUND((T5/25*1000/(3.2*10^-2)/(5000*2000/10^6)),-3)</f>
        <v>391000</v>
      </c>
      <c r="AD5" s="65"/>
    </row>
    <row r="6" spans="1:30" ht="26" x14ac:dyDescent="0.35">
      <c r="A6" s="10" t="s">
        <v>316</v>
      </c>
      <c r="B6" s="34">
        <v>50632</v>
      </c>
      <c r="C6" s="35">
        <v>1003200</v>
      </c>
      <c r="D6" s="11" t="s">
        <v>255</v>
      </c>
      <c r="E6" s="10" t="s">
        <v>177</v>
      </c>
      <c r="F6" s="12" t="s">
        <v>13</v>
      </c>
      <c r="G6" s="13">
        <v>95313</v>
      </c>
      <c r="H6" s="10" t="s">
        <v>178</v>
      </c>
      <c r="I6" s="25">
        <v>2</v>
      </c>
      <c r="J6" s="10">
        <v>800</v>
      </c>
      <c r="K6" s="10" t="s">
        <v>311</v>
      </c>
      <c r="L6" s="19"/>
      <c r="M6" s="10">
        <v>22.4</v>
      </c>
      <c r="N6" s="10" t="s">
        <v>317</v>
      </c>
      <c r="O6" s="10" t="s">
        <v>317</v>
      </c>
      <c r="P6" s="15">
        <f t="shared" si="0"/>
        <v>92000</v>
      </c>
      <c r="Q6" s="16">
        <v>108970</v>
      </c>
      <c r="R6" s="47"/>
      <c r="S6" s="17">
        <v>102961</v>
      </c>
      <c r="T6" s="18">
        <v>2343</v>
      </c>
      <c r="U6" s="18">
        <v>3667</v>
      </c>
      <c r="V6" s="18">
        <v>165498</v>
      </c>
      <c r="W6" s="50">
        <f t="shared" si="1"/>
        <v>0.61647402396641571</v>
      </c>
      <c r="X6" s="49">
        <f t="shared" si="2"/>
        <v>0.26994893817275478</v>
      </c>
      <c r="Y6" s="17">
        <v>165443</v>
      </c>
      <c r="Z6" s="17">
        <v>105779</v>
      </c>
      <c r="AA6" s="62">
        <f t="shared" si="3"/>
        <v>271222</v>
      </c>
      <c r="AB6" s="63" t="str">
        <f t="shared" si="4"/>
        <v/>
      </c>
      <c r="AC6" s="64">
        <f t="shared" si="5"/>
        <v>293000</v>
      </c>
      <c r="AD6" s="65"/>
    </row>
    <row r="7" spans="1:30" x14ac:dyDescent="0.35">
      <c r="A7" s="10" t="s">
        <v>318</v>
      </c>
      <c r="B7" s="34">
        <v>50648</v>
      </c>
      <c r="C7" s="35">
        <v>1005172</v>
      </c>
      <c r="D7" s="11" t="s">
        <v>259</v>
      </c>
      <c r="E7" s="10" t="s">
        <v>183</v>
      </c>
      <c r="F7" s="12" t="s">
        <v>3</v>
      </c>
      <c r="G7" s="13" t="s">
        <v>289</v>
      </c>
      <c r="H7" s="10" t="s">
        <v>29</v>
      </c>
      <c r="I7" s="25">
        <v>2</v>
      </c>
      <c r="J7" s="10">
        <v>650</v>
      </c>
      <c r="K7" s="10" t="s">
        <v>311</v>
      </c>
      <c r="L7" s="10"/>
      <c r="M7" s="10">
        <v>16.3</v>
      </c>
      <c r="N7" s="10" t="s">
        <v>319</v>
      </c>
      <c r="O7" s="10" t="s">
        <v>319</v>
      </c>
      <c r="P7" s="15">
        <f t="shared" si="0"/>
        <v>74700</v>
      </c>
      <c r="Q7" s="16">
        <v>78067</v>
      </c>
      <c r="R7" s="47"/>
      <c r="S7" s="17">
        <v>73548</v>
      </c>
      <c r="T7" s="18">
        <v>1762</v>
      </c>
      <c r="U7" s="18">
        <v>2757</v>
      </c>
      <c r="V7" s="18">
        <v>126919</v>
      </c>
      <c r="W7" s="50">
        <f t="shared" si="1"/>
        <v>0.63311667256955007</v>
      </c>
      <c r="X7" s="49">
        <f t="shared" si="2"/>
        <v>0.24545246396887074</v>
      </c>
      <c r="Y7" s="17">
        <v>135874</v>
      </c>
      <c r="Z7" s="17">
        <v>86869</v>
      </c>
      <c r="AA7" s="62">
        <f t="shared" si="3"/>
        <v>222743</v>
      </c>
      <c r="AB7" s="63" t="str">
        <f t="shared" si="4"/>
        <v/>
      </c>
      <c r="AC7" s="64">
        <f t="shared" si="5"/>
        <v>220000</v>
      </c>
      <c r="AD7" s="65"/>
    </row>
    <row r="8" spans="1:30" ht="26" x14ac:dyDescent="0.35">
      <c r="A8" s="10" t="s">
        <v>320</v>
      </c>
      <c r="B8" s="35">
        <v>54945</v>
      </c>
      <c r="C8" s="35">
        <v>1002765</v>
      </c>
      <c r="E8" s="10" t="s">
        <v>29</v>
      </c>
      <c r="F8" s="12" t="s">
        <v>3</v>
      </c>
      <c r="G8" s="13" t="s">
        <v>297</v>
      </c>
      <c r="H8" s="10" t="s">
        <v>29</v>
      </c>
      <c r="I8" s="25">
        <v>3</v>
      </c>
      <c r="J8" s="10">
        <v>2850</v>
      </c>
      <c r="K8" s="10" t="s">
        <v>321</v>
      </c>
      <c r="L8" s="10"/>
      <c r="M8" s="10">
        <v>69</v>
      </c>
      <c r="N8" s="10" t="s">
        <v>322</v>
      </c>
      <c r="O8" s="10" t="s">
        <v>323</v>
      </c>
      <c r="P8" s="15">
        <f t="shared" si="0"/>
        <v>327700</v>
      </c>
      <c r="Q8" s="16">
        <v>174389</v>
      </c>
      <c r="R8" s="47"/>
      <c r="S8" s="17">
        <v>165480</v>
      </c>
      <c r="T8" s="18">
        <v>3474</v>
      </c>
      <c r="U8" s="18">
        <v>5435</v>
      </c>
      <c r="V8" s="18">
        <v>244401</v>
      </c>
      <c r="W8" s="50">
        <f t="shared" si="1"/>
        <v>0.59627306462119489</v>
      </c>
      <c r="X8" s="49">
        <f t="shared" si="2"/>
        <v>0.22433509119588532</v>
      </c>
      <c r="Y8" s="17">
        <v>303964</v>
      </c>
      <c r="Z8" s="17">
        <v>194334</v>
      </c>
      <c r="AA8" s="62">
        <f t="shared" si="3"/>
        <v>498298</v>
      </c>
      <c r="AB8" s="63" t="str">
        <f t="shared" si="4"/>
        <v/>
      </c>
      <c r="AC8" s="64">
        <f t="shared" si="5"/>
        <v>434000</v>
      </c>
      <c r="AD8" s="65"/>
    </row>
    <row r="9" spans="1:30" ht="26" x14ac:dyDescent="0.35">
      <c r="A9" s="10" t="s">
        <v>324</v>
      </c>
      <c r="B9" s="34">
        <v>10646</v>
      </c>
      <c r="C9" s="35">
        <v>1002744</v>
      </c>
      <c r="D9" s="11" t="s">
        <v>256</v>
      </c>
      <c r="E9" s="10" t="s">
        <v>179</v>
      </c>
      <c r="F9" s="12" t="s">
        <v>3</v>
      </c>
      <c r="G9" s="13" t="s">
        <v>288</v>
      </c>
      <c r="H9" s="10" t="s">
        <v>180</v>
      </c>
      <c r="I9" s="25">
        <v>2</v>
      </c>
      <c r="J9" s="10">
        <v>689</v>
      </c>
      <c r="K9" s="10" t="s">
        <v>311</v>
      </c>
      <c r="L9" s="10"/>
      <c r="M9" s="10">
        <v>17</v>
      </c>
      <c r="N9" s="10" t="s">
        <v>325</v>
      </c>
      <c r="O9" s="10" t="s">
        <v>325</v>
      </c>
      <c r="P9" s="15">
        <f t="shared" si="0"/>
        <v>79200</v>
      </c>
      <c r="Q9" s="16">
        <v>106510</v>
      </c>
      <c r="R9" s="47"/>
      <c r="S9" s="17">
        <v>100985</v>
      </c>
      <c r="T9" s="17">
        <v>2154</v>
      </c>
      <c r="U9" s="17">
        <v>3371</v>
      </c>
      <c r="V9" s="17">
        <v>145015</v>
      </c>
      <c r="W9" s="50">
        <f t="shared" si="1"/>
        <v>0.58949186991869917</v>
      </c>
      <c r="X9" s="49">
        <f t="shared" si="2"/>
        <v>0.26588242160521647</v>
      </c>
      <c r="Y9" s="17">
        <v>153923</v>
      </c>
      <c r="Z9" s="17">
        <v>98410</v>
      </c>
      <c r="AA9" s="62">
        <f t="shared" si="3"/>
        <v>252333</v>
      </c>
      <c r="AB9" s="63" t="str">
        <f t="shared" si="4"/>
        <v/>
      </c>
      <c r="AC9" s="64">
        <f t="shared" si="5"/>
        <v>269000</v>
      </c>
      <c r="AD9" s="65"/>
    </row>
    <row r="10" spans="1:30" x14ac:dyDescent="0.35">
      <c r="A10" s="10" t="s">
        <v>326</v>
      </c>
      <c r="B10" s="35">
        <v>50883</v>
      </c>
      <c r="C10" s="35">
        <v>1004283</v>
      </c>
      <c r="D10" s="11" t="s">
        <v>231</v>
      </c>
      <c r="E10" s="10" t="s">
        <v>140</v>
      </c>
      <c r="F10" s="12" t="s">
        <v>3</v>
      </c>
      <c r="G10" s="13" t="s">
        <v>281</v>
      </c>
      <c r="H10" s="10" t="s">
        <v>141</v>
      </c>
      <c r="I10" s="25">
        <v>3</v>
      </c>
      <c r="J10" s="10">
        <v>2250</v>
      </c>
      <c r="K10" s="10" t="s">
        <v>311</v>
      </c>
      <c r="L10" s="10"/>
      <c r="M10" s="10">
        <v>67</v>
      </c>
      <c r="N10" s="10" t="s">
        <v>326</v>
      </c>
      <c r="O10" s="10" t="s">
        <v>326</v>
      </c>
      <c r="P10" s="15">
        <f t="shared" si="0"/>
        <v>258700</v>
      </c>
      <c r="Q10" s="16">
        <v>289860</v>
      </c>
      <c r="R10" s="47"/>
      <c r="S10" s="17">
        <v>274037</v>
      </c>
      <c r="T10" s="17">
        <v>6170</v>
      </c>
      <c r="U10" s="17">
        <v>9653</v>
      </c>
      <c r="V10" s="17">
        <v>411058</v>
      </c>
      <c r="W10" s="50">
        <f t="shared" si="1"/>
        <v>0.60000145965158114</v>
      </c>
      <c r="X10" s="49">
        <f t="shared" si="2"/>
        <v>0.25557759615286563</v>
      </c>
      <c r="Y10" s="17">
        <v>445952</v>
      </c>
      <c r="Z10" s="17">
        <v>285114</v>
      </c>
      <c r="AA10" s="62">
        <f t="shared" si="3"/>
        <v>731066</v>
      </c>
      <c r="AB10" s="63" t="str">
        <f t="shared" si="4"/>
        <v/>
      </c>
      <c r="AC10" s="64">
        <f t="shared" si="5"/>
        <v>771000</v>
      </c>
    </row>
    <row r="11" spans="1:30" ht="26" x14ac:dyDescent="0.35">
      <c r="A11" s="10" t="s">
        <v>33</v>
      </c>
      <c r="B11" s="35">
        <v>54758</v>
      </c>
      <c r="C11" s="35">
        <v>1004540</v>
      </c>
      <c r="D11" s="11" t="s">
        <v>263</v>
      </c>
      <c r="E11" s="10" t="s">
        <v>188</v>
      </c>
      <c r="F11" s="12" t="s">
        <v>3</v>
      </c>
      <c r="G11" s="13" t="s">
        <v>291</v>
      </c>
      <c r="H11" s="10" t="s">
        <v>180</v>
      </c>
      <c r="I11" s="25">
        <v>2</v>
      </c>
      <c r="J11" s="10">
        <v>500</v>
      </c>
      <c r="K11" s="10" t="s">
        <v>311</v>
      </c>
      <c r="L11" s="10"/>
      <c r="M11" s="10">
        <v>15</v>
      </c>
      <c r="N11" s="10" t="s">
        <v>327</v>
      </c>
      <c r="O11" s="10" t="s">
        <v>33</v>
      </c>
      <c r="P11" s="15">
        <f t="shared" si="0"/>
        <v>57500</v>
      </c>
      <c r="Q11" s="16">
        <v>78720</v>
      </c>
      <c r="R11" s="47"/>
      <c r="S11" s="17">
        <v>74951</v>
      </c>
      <c r="T11" s="17">
        <v>1470</v>
      </c>
      <c r="U11" s="17">
        <v>2300</v>
      </c>
      <c r="V11" s="17">
        <v>92047</v>
      </c>
      <c r="W11" s="50">
        <f t="shared" si="1"/>
        <v>0.55118624175139819</v>
      </c>
      <c r="X11" s="49">
        <f t="shared" si="2"/>
        <v>0.24564959651202814</v>
      </c>
      <c r="Y11" s="17">
        <v>113099</v>
      </c>
      <c r="Z11" s="17">
        <v>72307</v>
      </c>
      <c r="AA11" s="62">
        <f t="shared" si="3"/>
        <v>185406</v>
      </c>
      <c r="AB11" s="63" t="str">
        <f t="shared" si="4"/>
        <v/>
      </c>
      <c r="AC11" s="64">
        <f t="shared" si="5"/>
        <v>184000</v>
      </c>
    </row>
    <row r="12" spans="1:30" x14ac:dyDescent="0.35">
      <c r="A12" s="10" t="s">
        <v>42</v>
      </c>
      <c r="B12" s="35">
        <v>10250</v>
      </c>
      <c r="C12" s="35">
        <v>1004618</v>
      </c>
      <c r="D12" s="11" t="s">
        <v>272</v>
      </c>
      <c r="E12" s="10" t="s">
        <v>466</v>
      </c>
      <c r="F12" s="12" t="s">
        <v>8</v>
      </c>
      <c r="G12" s="13">
        <v>32404</v>
      </c>
      <c r="H12" s="10" t="s">
        <v>205</v>
      </c>
      <c r="I12" s="25"/>
      <c r="J12" s="10"/>
      <c r="K12" s="10"/>
      <c r="L12" s="10"/>
      <c r="M12" s="10"/>
      <c r="N12" s="10"/>
      <c r="O12" s="10"/>
      <c r="P12" s="15">
        <f t="shared" si="0"/>
        <v>0</v>
      </c>
      <c r="Q12" s="16">
        <v>33688</v>
      </c>
      <c r="R12" s="47"/>
      <c r="S12" s="17">
        <v>32310</v>
      </c>
      <c r="T12" s="18">
        <v>538</v>
      </c>
      <c r="U12" s="18">
        <v>841</v>
      </c>
      <c r="V12" s="18">
        <v>32706</v>
      </c>
      <c r="W12" s="50">
        <f t="shared" si="1"/>
        <v>0.50304540420819488</v>
      </c>
      <c r="X12" s="49">
        <f t="shared" si="2"/>
        <v>0.20906496997708354</v>
      </c>
      <c r="Y12" s="17">
        <v>51735</v>
      </c>
      <c r="Z12" s="18">
        <v>33079</v>
      </c>
      <c r="AA12" s="62">
        <f t="shared" si="3"/>
        <v>84814</v>
      </c>
      <c r="AB12" s="63" t="str">
        <f t="shared" si="4"/>
        <v/>
      </c>
      <c r="AC12" s="64">
        <f t="shared" si="5"/>
        <v>67000</v>
      </c>
    </row>
    <row r="13" spans="1:30" ht="26" x14ac:dyDescent="0.35">
      <c r="A13" s="10" t="s">
        <v>217</v>
      </c>
      <c r="B13" s="34">
        <v>50858</v>
      </c>
      <c r="C13" s="35">
        <v>1005920</v>
      </c>
      <c r="D13" s="11" t="s">
        <v>241</v>
      </c>
      <c r="E13" s="10" t="s">
        <v>157</v>
      </c>
      <c r="F13" s="12" t="s">
        <v>8</v>
      </c>
      <c r="G13" s="13">
        <v>33619</v>
      </c>
      <c r="H13" s="10" t="s">
        <v>158</v>
      </c>
      <c r="I13" s="25">
        <v>4</v>
      </c>
      <c r="J13" s="10">
        <v>1800</v>
      </c>
      <c r="K13" s="10" t="s">
        <v>311</v>
      </c>
      <c r="L13" s="10"/>
      <c r="M13" s="10">
        <v>46.5</v>
      </c>
      <c r="N13" s="10" t="s">
        <v>328</v>
      </c>
      <c r="O13" s="10" t="s">
        <v>329</v>
      </c>
      <c r="P13" s="15">
        <f t="shared" si="0"/>
        <v>207000</v>
      </c>
      <c r="Q13" s="16">
        <v>201101</v>
      </c>
      <c r="R13" s="47"/>
      <c r="S13" s="17">
        <v>190472</v>
      </c>
      <c r="T13" s="18">
        <v>4145</v>
      </c>
      <c r="U13" s="18">
        <v>6484</v>
      </c>
      <c r="V13" s="18">
        <v>286372</v>
      </c>
      <c r="W13" s="50">
        <f t="shared" si="1"/>
        <v>0.60055699557926701</v>
      </c>
      <c r="X13" s="49">
        <f t="shared" si="2"/>
        <v>0.26854515794156902</v>
      </c>
      <c r="Y13" s="17">
        <v>295406</v>
      </c>
      <c r="Z13" s="17">
        <v>188864</v>
      </c>
      <c r="AA13" s="62">
        <f t="shared" si="3"/>
        <v>484270</v>
      </c>
      <c r="AB13" s="63" t="str">
        <f t="shared" si="4"/>
        <v/>
      </c>
      <c r="AC13" s="64">
        <f t="shared" si="5"/>
        <v>518000</v>
      </c>
    </row>
    <row r="14" spans="1:30" x14ac:dyDescent="0.35">
      <c r="A14" s="10" t="s">
        <v>330</v>
      </c>
      <c r="B14" s="34">
        <v>50629</v>
      </c>
      <c r="C14" s="35">
        <v>1003242</v>
      </c>
      <c r="D14" s="11" t="s">
        <v>267</v>
      </c>
      <c r="E14" s="10" t="s">
        <v>196</v>
      </c>
      <c r="F14" s="12" t="s">
        <v>8</v>
      </c>
      <c r="G14" s="13">
        <v>34762</v>
      </c>
      <c r="H14" s="10" t="s">
        <v>197</v>
      </c>
      <c r="I14" s="25">
        <v>2</v>
      </c>
      <c r="J14" s="10">
        <v>528</v>
      </c>
      <c r="K14" s="10" t="s">
        <v>311</v>
      </c>
      <c r="L14" s="10"/>
      <c r="M14" s="10">
        <v>14.5</v>
      </c>
      <c r="N14" s="10" t="s">
        <v>331</v>
      </c>
      <c r="O14" s="10" t="s">
        <v>331</v>
      </c>
      <c r="P14" s="15">
        <f t="shared" si="0"/>
        <v>60700</v>
      </c>
      <c r="Q14" s="16">
        <v>64791</v>
      </c>
      <c r="R14" s="47"/>
      <c r="S14" s="17">
        <v>61341</v>
      </c>
      <c r="T14" s="18">
        <v>1346</v>
      </c>
      <c r="U14" s="18">
        <v>2105</v>
      </c>
      <c r="V14" s="18">
        <v>92380</v>
      </c>
      <c r="W14" s="50">
        <f t="shared" si="1"/>
        <v>0.60095888004891984</v>
      </c>
      <c r="X14" s="49">
        <f t="shared" si="2"/>
        <v>0.27094355496829436</v>
      </c>
      <c r="Y14" s="17">
        <v>94387</v>
      </c>
      <c r="Z14" s="17">
        <v>60346</v>
      </c>
      <c r="AA14" s="62">
        <f t="shared" si="3"/>
        <v>154733</v>
      </c>
      <c r="AB14" s="63" t="str">
        <f t="shared" si="4"/>
        <v/>
      </c>
      <c r="AC14" s="64">
        <f t="shared" si="5"/>
        <v>168000</v>
      </c>
    </row>
    <row r="15" spans="1:30" x14ac:dyDescent="0.35">
      <c r="A15" s="12" t="s">
        <v>332</v>
      </c>
      <c r="B15" s="34">
        <v>52010</v>
      </c>
      <c r="C15" s="35">
        <v>1002268</v>
      </c>
      <c r="D15" s="11" t="s">
        <v>236</v>
      </c>
      <c r="E15" s="10" t="s">
        <v>149</v>
      </c>
      <c r="F15" s="12" t="s">
        <v>8</v>
      </c>
      <c r="G15" s="13">
        <v>33905</v>
      </c>
      <c r="H15" s="10" t="s">
        <v>150</v>
      </c>
      <c r="I15" s="25">
        <v>3</v>
      </c>
      <c r="J15" s="10">
        <v>1836</v>
      </c>
      <c r="K15" s="10" t="s">
        <v>311</v>
      </c>
      <c r="L15" s="10"/>
      <c r="M15" s="10">
        <v>57.3</v>
      </c>
      <c r="N15" s="10" t="s">
        <v>333</v>
      </c>
      <c r="O15" s="10" t="s">
        <v>334</v>
      </c>
      <c r="P15" s="15">
        <f t="shared" si="0"/>
        <v>211100</v>
      </c>
      <c r="Q15" s="16">
        <v>224243</v>
      </c>
      <c r="R15" s="47"/>
      <c r="S15" s="17">
        <v>211502</v>
      </c>
      <c r="T15" s="18">
        <v>4968</v>
      </c>
      <c r="U15" s="18">
        <v>7773</v>
      </c>
      <c r="V15" s="18">
        <v>307521</v>
      </c>
      <c r="W15" s="50">
        <f t="shared" si="1"/>
        <v>0.59249975434614655</v>
      </c>
      <c r="X15" s="49">
        <f t="shared" si="2"/>
        <v>0.22952944568662967</v>
      </c>
      <c r="Y15" s="17">
        <v>376188</v>
      </c>
      <c r="Z15" s="17">
        <v>240516</v>
      </c>
      <c r="AA15" s="62">
        <f t="shared" si="3"/>
        <v>616704</v>
      </c>
      <c r="AB15" s="63" t="str">
        <f t="shared" si="4"/>
        <v/>
      </c>
      <c r="AC15" s="64">
        <f t="shared" si="5"/>
        <v>621000</v>
      </c>
    </row>
    <row r="16" spans="1:30" x14ac:dyDescent="0.35">
      <c r="A16" s="10" t="s">
        <v>353</v>
      </c>
      <c r="B16" s="35">
        <v>50875</v>
      </c>
      <c r="C16" s="35">
        <v>1004572</v>
      </c>
      <c r="D16" s="11" t="s">
        <v>253</v>
      </c>
      <c r="E16" s="10" t="s">
        <v>157</v>
      </c>
      <c r="F16" s="12" t="s">
        <v>8</v>
      </c>
      <c r="G16" s="13">
        <v>33605</v>
      </c>
      <c r="H16" s="10" t="s">
        <v>158</v>
      </c>
      <c r="I16" s="25">
        <v>4</v>
      </c>
      <c r="J16" s="10">
        <v>1000</v>
      </c>
      <c r="K16" s="10" t="s">
        <v>311</v>
      </c>
      <c r="L16" s="10"/>
      <c r="M16" s="10">
        <v>22</v>
      </c>
      <c r="N16" s="10" t="s">
        <v>354</v>
      </c>
      <c r="O16" s="10" t="s">
        <v>355</v>
      </c>
      <c r="P16" s="15">
        <f t="shared" si="0"/>
        <v>115000</v>
      </c>
      <c r="Q16" s="16">
        <v>118568</v>
      </c>
      <c r="R16" s="47"/>
      <c r="S16" s="17">
        <v>112198</v>
      </c>
      <c r="T16" s="18">
        <v>2484</v>
      </c>
      <c r="U16" s="18">
        <v>3886</v>
      </c>
      <c r="V16" s="18">
        <v>169867</v>
      </c>
      <c r="W16" s="50">
        <f t="shared" si="1"/>
        <v>0.60222643716873769</v>
      </c>
      <c r="X16" s="49">
        <f t="shared" si="2"/>
        <v>0.2480350100173086</v>
      </c>
      <c r="Y16" s="17">
        <v>189189</v>
      </c>
      <c r="Z16" s="17">
        <v>120956</v>
      </c>
      <c r="AA16" s="62">
        <f t="shared" si="3"/>
        <v>310145</v>
      </c>
      <c r="AB16" s="63" t="str">
        <f t="shared" si="4"/>
        <v/>
      </c>
      <c r="AC16" s="64">
        <f t="shared" si="5"/>
        <v>311000</v>
      </c>
    </row>
    <row r="17" spans="1:29" x14ac:dyDescent="0.35">
      <c r="A17" s="10" t="s">
        <v>335</v>
      </c>
      <c r="B17" s="34">
        <v>10062</v>
      </c>
      <c r="C17" s="35">
        <v>1009077</v>
      </c>
      <c r="D17" s="11" t="s">
        <v>235</v>
      </c>
      <c r="E17" s="10" t="s">
        <v>147</v>
      </c>
      <c r="F17" s="12" t="s">
        <v>8</v>
      </c>
      <c r="G17" s="13">
        <v>33178</v>
      </c>
      <c r="H17" s="10" t="s">
        <v>148</v>
      </c>
      <c r="I17" s="25">
        <v>4</v>
      </c>
      <c r="J17" s="10">
        <v>3000</v>
      </c>
      <c r="K17" s="10" t="s">
        <v>321</v>
      </c>
      <c r="L17" s="10"/>
      <c r="M17" s="10">
        <v>77</v>
      </c>
      <c r="N17" s="10" t="s">
        <v>336</v>
      </c>
      <c r="O17" s="10" t="s">
        <v>337</v>
      </c>
      <c r="P17" s="15">
        <f t="shared" si="0"/>
        <v>344900</v>
      </c>
      <c r="Q17" s="16">
        <v>255867</v>
      </c>
      <c r="R17" s="47"/>
      <c r="S17" s="17">
        <v>240209</v>
      </c>
      <c r="T17" s="18">
        <v>6107</v>
      </c>
      <c r="U17" s="18">
        <v>9551</v>
      </c>
      <c r="V17" s="18">
        <v>480658</v>
      </c>
      <c r="W17" s="50">
        <f t="shared" si="1"/>
        <v>0.66677764414240071</v>
      </c>
      <c r="X17" s="49">
        <f t="shared" si="2"/>
        <v>0.31232986038749044</v>
      </c>
      <c r="Y17" s="17">
        <v>383971</v>
      </c>
      <c r="Z17" s="17">
        <v>245492</v>
      </c>
      <c r="AA17" s="62">
        <f t="shared" si="3"/>
        <v>629463</v>
      </c>
      <c r="AB17" s="63" t="str">
        <f t="shared" si="4"/>
        <v/>
      </c>
      <c r="AC17" s="64">
        <f t="shared" si="5"/>
        <v>763000</v>
      </c>
    </row>
    <row r="18" spans="1:29" ht="26" x14ac:dyDescent="0.35">
      <c r="A18" s="10" t="s">
        <v>338</v>
      </c>
      <c r="B18" s="34">
        <v>50071</v>
      </c>
      <c r="C18" s="35">
        <v>1007820</v>
      </c>
      <c r="E18" s="10" t="s">
        <v>339</v>
      </c>
      <c r="F18" s="12" t="s">
        <v>8</v>
      </c>
      <c r="G18" s="13">
        <v>33412</v>
      </c>
      <c r="H18" s="10" t="s">
        <v>340</v>
      </c>
      <c r="I18" s="25">
        <v>2</v>
      </c>
      <c r="J18" s="10">
        <v>2000</v>
      </c>
      <c r="K18" s="10" t="s">
        <v>321</v>
      </c>
      <c r="L18" s="10"/>
      <c r="M18" s="10">
        <v>61</v>
      </c>
      <c r="N18" s="10" t="s">
        <v>341</v>
      </c>
      <c r="O18" s="10" t="s">
        <v>214</v>
      </c>
      <c r="P18" s="15">
        <f t="shared" si="0"/>
        <v>230000</v>
      </c>
      <c r="Q18" s="16">
        <v>227531.98799999998</v>
      </c>
      <c r="R18" s="47"/>
      <c r="S18" s="18">
        <v>215402.59999999998</v>
      </c>
      <c r="T18" s="18">
        <v>4729.75</v>
      </c>
      <c r="U18" s="18">
        <v>7399.6380000000008</v>
      </c>
      <c r="V18" s="18">
        <v>381604.9</v>
      </c>
      <c r="W18" s="50">
        <f t="shared" si="1"/>
        <v>0.63919615750220893</v>
      </c>
      <c r="X18" s="49">
        <f t="shared" si="2"/>
        <v>0.28265045147752837</v>
      </c>
      <c r="Y18" s="17">
        <v>351390</v>
      </c>
      <c r="Z18" s="17">
        <v>224658</v>
      </c>
      <c r="AA18" s="62">
        <f t="shared" si="3"/>
        <v>576048</v>
      </c>
      <c r="AB18" s="63" t="str">
        <f t="shared" si="4"/>
        <v/>
      </c>
      <c r="AC18" s="64">
        <f t="shared" si="5"/>
        <v>591000</v>
      </c>
    </row>
    <row r="19" spans="1:29" ht="26" x14ac:dyDescent="0.35">
      <c r="A19" s="10" t="s">
        <v>342</v>
      </c>
      <c r="B19" s="34">
        <v>57898</v>
      </c>
      <c r="C19" s="35">
        <v>1007820</v>
      </c>
      <c r="E19" s="10" t="s">
        <v>339</v>
      </c>
      <c r="F19" s="12" t="s">
        <v>8</v>
      </c>
      <c r="G19" s="13">
        <v>33412</v>
      </c>
      <c r="H19" s="10" t="s">
        <v>340</v>
      </c>
      <c r="I19" s="25">
        <v>3</v>
      </c>
      <c r="J19" s="10">
        <v>3000</v>
      </c>
      <c r="K19" s="10" t="s">
        <v>311</v>
      </c>
      <c r="L19" s="10"/>
      <c r="M19" s="10">
        <v>96</v>
      </c>
      <c r="N19" s="10" t="s">
        <v>341</v>
      </c>
      <c r="O19" s="10" t="s">
        <v>214</v>
      </c>
      <c r="P19" s="15">
        <f t="shared" si="0"/>
        <v>344900</v>
      </c>
      <c r="Q19" s="16">
        <v>283759.95599999995</v>
      </c>
      <c r="R19" s="47"/>
      <c r="S19" s="18">
        <v>266835.39999999997</v>
      </c>
      <c r="T19" s="18">
        <v>6599.7499999999973</v>
      </c>
      <c r="U19" s="18">
        <v>10324.806000000004</v>
      </c>
      <c r="V19" s="18">
        <v>626178.30000000005</v>
      </c>
      <c r="W19" s="50">
        <f t="shared" si="1"/>
        <v>0.70119674535788201</v>
      </c>
      <c r="X19" s="49">
        <f t="shared" si="2"/>
        <v>0.24787889150704442</v>
      </c>
      <c r="Y19" s="17">
        <v>599343</v>
      </c>
      <c r="Z19" s="17">
        <v>383190</v>
      </c>
      <c r="AA19" s="62">
        <f t="shared" si="3"/>
        <v>982533</v>
      </c>
      <c r="AB19" s="63" t="str">
        <f t="shared" si="4"/>
        <v/>
      </c>
      <c r="AC19" s="64">
        <f t="shared" si="5"/>
        <v>825000</v>
      </c>
    </row>
    <row r="20" spans="1:29" ht="26" x14ac:dyDescent="0.35">
      <c r="A20" s="10" t="s">
        <v>343</v>
      </c>
      <c r="B20" s="34">
        <v>50666</v>
      </c>
      <c r="C20" s="35">
        <v>1003243</v>
      </c>
      <c r="E20" s="10" t="s">
        <v>344</v>
      </c>
      <c r="F20" s="12" t="s">
        <v>8</v>
      </c>
      <c r="G20" s="13">
        <v>34610</v>
      </c>
      <c r="H20" s="10" t="s">
        <v>345</v>
      </c>
      <c r="I20" s="25">
        <v>3</v>
      </c>
      <c r="J20" s="10">
        <v>1050</v>
      </c>
      <c r="K20" s="10" t="s">
        <v>311</v>
      </c>
      <c r="L20" s="10"/>
      <c r="M20" s="10">
        <v>29.7</v>
      </c>
      <c r="N20" s="10" t="s">
        <v>346</v>
      </c>
      <c r="O20" s="10" t="s">
        <v>347</v>
      </c>
      <c r="P20" s="15">
        <f t="shared" si="0"/>
        <v>120700</v>
      </c>
      <c r="Q20" s="16">
        <v>149643</v>
      </c>
      <c r="R20" s="47"/>
      <c r="S20" s="17">
        <v>131364</v>
      </c>
      <c r="T20" s="20">
        <f>14034-(452.73*25)</f>
        <v>2715.75</v>
      </c>
      <c r="U20" s="17">
        <v>4245</v>
      </c>
      <c r="V20" s="17">
        <v>191142</v>
      </c>
      <c r="W20" s="50">
        <f t="shared" si="1"/>
        <v>0.59267734553775742</v>
      </c>
      <c r="X20" s="49">
        <f t="shared" si="2"/>
        <v>0.2575493154506483</v>
      </c>
      <c r="Y20" s="17">
        <v>208322</v>
      </c>
      <c r="Z20" s="17">
        <v>133190</v>
      </c>
      <c r="AA20" s="62">
        <f t="shared" si="3"/>
        <v>341512</v>
      </c>
      <c r="AB20" s="63" t="str">
        <f t="shared" si="4"/>
        <v/>
      </c>
      <c r="AC20" s="64">
        <f t="shared" si="5"/>
        <v>339000</v>
      </c>
    </row>
    <row r="21" spans="1:29" ht="26" x14ac:dyDescent="0.35">
      <c r="A21" s="10" t="s">
        <v>348</v>
      </c>
      <c r="B21" s="34">
        <v>50884</v>
      </c>
      <c r="C21" s="35">
        <v>1001884</v>
      </c>
      <c r="E21" s="10" t="s">
        <v>349</v>
      </c>
      <c r="F21" s="12" t="s">
        <v>8</v>
      </c>
      <c r="G21" s="13">
        <v>33716</v>
      </c>
      <c r="H21" s="10" t="s">
        <v>350</v>
      </c>
      <c r="I21" s="25">
        <v>3</v>
      </c>
      <c r="J21" s="10">
        <v>3150</v>
      </c>
      <c r="K21" s="10" t="s">
        <v>311</v>
      </c>
      <c r="L21" s="10"/>
      <c r="M21" s="10">
        <v>75</v>
      </c>
      <c r="N21" s="10" t="s">
        <v>351</v>
      </c>
      <c r="O21" s="10" t="s">
        <v>352</v>
      </c>
      <c r="P21" s="15">
        <f t="shared" si="0"/>
        <v>362200</v>
      </c>
      <c r="Q21" s="16">
        <v>567514</v>
      </c>
      <c r="R21" s="47"/>
      <c r="S21" s="17">
        <v>317231</v>
      </c>
      <c r="T21" s="20">
        <f>239567-(9308.65*25)</f>
        <v>6850.75</v>
      </c>
      <c r="U21" s="17">
        <v>10716</v>
      </c>
      <c r="V21" s="17">
        <v>567166</v>
      </c>
      <c r="W21" s="50">
        <f t="shared" si="1"/>
        <v>0.64130249198041156</v>
      </c>
      <c r="X21" s="49">
        <f t="shared" si="2"/>
        <v>0.2840922876905666</v>
      </c>
      <c r="Y21" s="17">
        <v>517899</v>
      </c>
      <c r="Z21" s="17">
        <v>331118</v>
      </c>
      <c r="AA21" s="62">
        <f t="shared" si="3"/>
        <v>849017</v>
      </c>
      <c r="AB21" s="63" t="str">
        <f t="shared" si="4"/>
        <v/>
      </c>
      <c r="AC21" s="64">
        <f t="shared" si="5"/>
        <v>856000</v>
      </c>
    </row>
    <row r="22" spans="1:29" ht="26" x14ac:dyDescent="0.35">
      <c r="A22" s="10" t="s">
        <v>356</v>
      </c>
      <c r="B22" s="35">
        <v>50887</v>
      </c>
      <c r="C22" s="35">
        <v>1004531</v>
      </c>
      <c r="D22" s="11" t="s">
        <v>229</v>
      </c>
      <c r="E22" s="10" t="s">
        <v>137</v>
      </c>
      <c r="F22" s="12" t="s">
        <v>8</v>
      </c>
      <c r="G22" s="13">
        <v>33314</v>
      </c>
      <c r="H22" s="10" t="s">
        <v>123</v>
      </c>
      <c r="I22" s="25">
        <v>3</v>
      </c>
      <c r="J22" s="10">
        <v>2250</v>
      </c>
      <c r="K22" s="10" t="s">
        <v>311</v>
      </c>
      <c r="L22" s="10"/>
      <c r="M22" s="10">
        <v>66</v>
      </c>
      <c r="N22" s="10" t="s">
        <v>356</v>
      </c>
      <c r="O22" s="10" t="s">
        <v>356</v>
      </c>
      <c r="P22" s="15">
        <f t="shared" si="0"/>
        <v>258700</v>
      </c>
      <c r="Q22" s="16">
        <v>305576</v>
      </c>
      <c r="R22" s="47"/>
      <c r="S22" s="17">
        <v>290886</v>
      </c>
      <c r="T22" s="17">
        <v>5729</v>
      </c>
      <c r="U22" s="17">
        <v>8961</v>
      </c>
      <c r="V22" s="17">
        <v>474600</v>
      </c>
      <c r="W22" s="50">
        <f t="shared" si="1"/>
        <v>0.61999827560530174</v>
      </c>
      <c r="X22" s="49">
        <f t="shared" si="2"/>
        <v>0.26674074137743187</v>
      </c>
      <c r="Y22" s="17">
        <v>477429</v>
      </c>
      <c r="Z22" s="17">
        <v>305237</v>
      </c>
      <c r="AA22" s="62">
        <f t="shared" si="3"/>
        <v>782666</v>
      </c>
      <c r="AB22" s="63" t="str">
        <f t="shared" si="4"/>
        <v/>
      </c>
      <c r="AC22" s="64">
        <f t="shared" si="5"/>
        <v>716000</v>
      </c>
    </row>
    <row r="23" spans="1:29" ht="26" x14ac:dyDescent="0.35">
      <c r="A23" s="10" t="s">
        <v>477</v>
      </c>
      <c r="B23" s="34">
        <v>10334</v>
      </c>
      <c r="C23" s="35">
        <v>1007914</v>
      </c>
      <c r="D23" s="11" t="s">
        <v>230</v>
      </c>
      <c r="E23" s="10" t="s">
        <v>138</v>
      </c>
      <c r="F23" s="12" t="s">
        <v>9</v>
      </c>
      <c r="G23" s="13">
        <v>96707</v>
      </c>
      <c r="H23" s="10" t="s">
        <v>139</v>
      </c>
      <c r="I23" s="25">
        <v>3</v>
      </c>
      <c r="J23" s="10">
        <v>3000</v>
      </c>
      <c r="K23" s="10" t="s">
        <v>321</v>
      </c>
      <c r="L23" s="10"/>
      <c r="M23" s="10">
        <v>90</v>
      </c>
      <c r="N23" s="10" t="s">
        <v>357</v>
      </c>
      <c r="O23" s="10" t="s">
        <v>358</v>
      </c>
      <c r="P23" s="15">
        <f t="shared" si="0"/>
        <v>344900</v>
      </c>
      <c r="Q23" s="16">
        <v>284525</v>
      </c>
      <c r="R23" s="47"/>
      <c r="S23" s="17">
        <v>270125</v>
      </c>
      <c r="T23" s="18">
        <v>5613</v>
      </c>
      <c r="U23" s="18">
        <v>8788</v>
      </c>
      <c r="V23" s="18">
        <v>440238</v>
      </c>
      <c r="W23" s="50">
        <f t="shared" si="1"/>
        <v>0.61973666984344622</v>
      </c>
      <c r="X23" s="49">
        <f t="shared" si="2"/>
        <v>0.26051429559864137</v>
      </c>
      <c r="Y23" s="17">
        <v>453635</v>
      </c>
      <c r="Z23" s="17">
        <v>290030</v>
      </c>
      <c r="AA23" s="62">
        <f t="shared" si="3"/>
        <v>743665</v>
      </c>
      <c r="AB23" s="63" t="str">
        <f t="shared" si="4"/>
        <v/>
      </c>
      <c r="AC23" s="64">
        <f t="shared" si="5"/>
        <v>702000</v>
      </c>
    </row>
    <row r="24" spans="1:29" x14ac:dyDescent="0.35">
      <c r="A24" s="10" t="s">
        <v>360</v>
      </c>
      <c r="B24" s="34">
        <v>1122</v>
      </c>
      <c r="C24" s="35">
        <v>1005802</v>
      </c>
      <c r="D24" s="11" t="s">
        <v>481</v>
      </c>
      <c r="E24" s="10" t="s">
        <v>361</v>
      </c>
      <c r="F24" s="12" t="s">
        <v>359</v>
      </c>
      <c r="G24" s="13" t="s">
        <v>482</v>
      </c>
      <c r="H24" s="10" t="s">
        <v>362</v>
      </c>
      <c r="I24" s="25">
        <v>1</v>
      </c>
      <c r="J24" s="10">
        <v>175</v>
      </c>
      <c r="K24" s="10" t="s">
        <v>321</v>
      </c>
      <c r="L24" s="10"/>
      <c r="M24" s="10">
        <v>4</v>
      </c>
      <c r="N24" s="10" t="s">
        <v>363</v>
      </c>
      <c r="O24" s="10" t="s">
        <v>363</v>
      </c>
      <c r="P24" s="15">
        <f t="shared" si="0"/>
        <v>20100</v>
      </c>
      <c r="Q24" s="38">
        <f>SUM(S24:U24)</f>
        <v>6527.2000000000007</v>
      </c>
      <c r="R24" s="54" t="s">
        <v>505</v>
      </c>
      <c r="S24" s="39">
        <f>ROUND(AA24*0.39*0.3*(44/12)/1.1,-2)</f>
        <v>6200</v>
      </c>
      <c r="T24" s="55">
        <v>127.6</v>
      </c>
      <c r="U24" s="55">
        <v>199.6</v>
      </c>
      <c r="V24" s="39">
        <f>ROUND(AA24*0.65*0.3*(44/12)/1.1,-2)</f>
        <v>10400</v>
      </c>
      <c r="W24" s="50">
        <f t="shared" si="1"/>
        <v>0.62650602409638556</v>
      </c>
      <c r="X24" s="49">
        <f>(S24+V24)*(12/44)/AA24</f>
        <v>0.28295454545454546</v>
      </c>
      <c r="Y24" s="37"/>
      <c r="Z24" s="37"/>
      <c r="AA24" s="62">
        <f>IF(SUM(Y24:Z24)=0,AC24,SUM(Y24:Z24))</f>
        <v>16000</v>
      </c>
      <c r="AB24" s="63" t="str">
        <f t="shared" si="4"/>
        <v>Y</v>
      </c>
      <c r="AC24" s="64">
        <f t="shared" si="5"/>
        <v>16000</v>
      </c>
    </row>
    <row r="25" spans="1:29" x14ac:dyDescent="0.35">
      <c r="A25" s="10" t="s">
        <v>364</v>
      </c>
      <c r="B25" s="34">
        <v>50647</v>
      </c>
      <c r="C25" s="35">
        <v>1000293</v>
      </c>
      <c r="D25" s="11" t="s">
        <v>232</v>
      </c>
      <c r="E25" s="10" t="s">
        <v>142</v>
      </c>
      <c r="F25" s="12" t="s">
        <v>11</v>
      </c>
      <c r="G25" s="13">
        <v>46221</v>
      </c>
      <c r="H25" s="10" t="s">
        <v>143</v>
      </c>
      <c r="I25" s="25">
        <v>3</v>
      </c>
      <c r="J25" s="10">
        <v>2362</v>
      </c>
      <c r="K25" s="10" t="s">
        <v>311</v>
      </c>
      <c r="L25" s="10">
        <v>558000</v>
      </c>
      <c r="M25" s="12">
        <v>6.5</v>
      </c>
      <c r="N25" s="10" t="s">
        <v>365</v>
      </c>
      <c r="O25" s="10" t="s">
        <v>365</v>
      </c>
      <c r="P25" s="15">
        <f t="shared" si="0"/>
        <v>271600</v>
      </c>
      <c r="Q25" s="16">
        <v>343961</v>
      </c>
      <c r="R25" s="47"/>
      <c r="S25" s="17">
        <v>328449</v>
      </c>
      <c r="T25" s="18">
        <v>6049</v>
      </c>
      <c r="U25" s="18">
        <v>9463</v>
      </c>
      <c r="V25" s="18">
        <v>337489</v>
      </c>
      <c r="W25" s="50">
        <f t="shared" si="1"/>
        <v>0.5067874186485829</v>
      </c>
      <c r="X25" s="49">
        <f t="shared" si="2"/>
        <v>0.26286497127097308</v>
      </c>
      <c r="Y25" s="17">
        <v>421462</v>
      </c>
      <c r="Z25" s="17">
        <v>269461</v>
      </c>
      <c r="AA25" s="62">
        <f t="shared" si="3"/>
        <v>690923</v>
      </c>
      <c r="AB25" s="63" t="str">
        <f t="shared" si="4"/>
        <v/>
      </c>
      <c r="AC25" s="64">
        <f t="shared" si="5"/>
        <v>756000</v>
      </c>
    </row>
    <row r="26" spans="1:29" x14ac:dyDescent="0.35">
      <c r="A26" s="10" t="s">
        <v>366</v>
      </c>
      <c r="B26" s="34">
        <v>50661</v>
      </c>
      <c r="C26" s="35">
        <v>1005179</v>
      </c>
      <c r="D26" s="11" t="s">
        <v>237</v>
      </c>
      <c r="E26" s="10" t="s">
        <v>151</v>
      </c>
      <c r="F26" s="12" t="s">
        <v>7</v>
      </c>
      <c r="G26" s="13" t="s">
        <v>282</v>
      </c>
      <c r="H26" s="10" t="s">
        <v>136</v>
      </c>
      <c r="I26" s="25">
        <v>2</v>
      </c>
      <c r="J26" s="10">
        <v>1650</v>
      </c>
      <c r="K26" s="10" t="s">
        <v>311</v>
      </c>
      <c r="L26" s="10"/>
      <c r="M26" s="10">
        <v>44.6</v>
      </c>
      <c r="N26" s="10" t="s">
        <v>367</v>
      </c>
      <c r="O26" s="10" t="s">
        <v>367</v>
      </c>
      <c r="P26" s="15">
        <f t="shared" si="0"/>
        <v>189700</v>
      </c>
      <c r="Q26" s="16">
        <v>229666</v>
      </c>
      <c r="R26" s="47"/>
      <c r="S26" s="17">
        <v>216455</v>
      </c>
      <c r="T26" s="18">
        <v>5151</v>
      </c>
      <c r="U26" s="18">
        <v>8060</v>
      </c>
      <c r="V26" s="18">
        <v>315465</v>
      </c>
      <c r="W26" s="50">
        <f t="shared" si="1"/>
        <v>0.59306850654233723</v>
      </c>
      <c r="X26" s="49">
        <f t="shared" si="2"/>
        <v>0.23653777569466741</v>
      </c>
      <c r="Y26" s="17">
        <v>374114</v>
      </c>
      <c r="Z26" s="17">
        <v>239188</v>
      </c>
      <c r="AA26" s="62">
        <f t="shared" si="3"/>
        <v>613302</v>
      </c>
      <c r="AB26" s="63" t="str">
        <f t="shared" si="4"/>
        <v/>
      </c>
      <c r="AC26" s="64">
        <f t="shared" si="5"/>
        <v>644000</v>
      </c>
    </row>
    <row r="27" spans="1:29" x14ac:dyDescent="0.35">
      <c r="A27" s="10" t="s">
        <v>368</v>
      </c>
      <c r="B27" s="35">
        <v>50273</v>
      </c>
      <c r="C27" s="35">
        <v>1004865</v>
      </c>
      <c r="D27" s="11" t="s">
        <v>271</v>
      </c>
      <c r="E27" s="10" t="s">
        <v>203</v>
      </c>
      <c r="F27" s="12" t="s">
        <v>7</v>
      </c>
      <c r="G27" s="13" t="s">
        <v>295</v>
      </c>
      <c r="H27" s="10" t="s">
        <v>204</v>
      </c>
      <c r="I27" s="25">
        <v>3</v>
      </c>
      <c r="J27" s="10">
        <v>400</v>
      </c>
      <c r="K27" s="10" t="s">
        <v>369</v>
      </c>
      <c r="L27" s="10"/>
      <c r="M27" s="10">
        <v>9.4</v>
      </c>
      <c r="N27" s="10" t="s">
        <v>370</v>
      </c>
      <c r="O27" s="10" t="s">
        <v>370</v>
      </c>
      <c r="P27" s="15">
        <f t="shared" si="0"/>
        <v>46000</v>
      </c>
      <c r="Q27" s="16">
        <v>17589</v>
      </c>
      <c r="R27" s="47"/>
      <c r="S27" s="17">
        <v>15591</v>
      </c>
      <c r="T27" s="18">
        <v>779</v>
      </c>
      <c r="U27" s="18">
        <v>1219</v>
      </c>
      <c r="V27" s="18">
        <v>73266</v>
      </c>
      <c r="W27" s="50">
        <f t="shared" si="1"/>
        <v>0.82453830311624299</v>
      </c>
      <c r="X27" s="49">
        <f t="shared" si="2"/>
        <v>0.21682363553398831</v>
      </c>
      <c r="Y27" s="17">
        <v>68178</v>
      </c>
      <c r="Z27" s="17">
        <v>43589</v>
      </c>
      <c r="AA27" s="62">
        <f t="shared" si="3"/>
        <v>111767</v>
      </c>
      <c r="AB27" s="63" t="str">
        <f t="shared" si="4"/>
        <v/>
      </c>
      <c r="AC27" s="64">
        <f t="shared" si="5"/>
        <v>97000</v>
      </c>
    </row>
    <row r="28" spans="1:29" x14ac:dyDescent="0.35">
      <c r="A28" s="10" t="s">
        <v>371</v>
      </c>
      <c r="B28" s="35" t="s">
        <v>4</v>
      </c>
      <c r="C28" s="35">
        <v>1004797</v>
      </c>
      <c r="D28" s="11" t="s">
        <v>275</v>
      </c>
      <c r="E28" s="10" t="s">
        <v>207</v>
      </c>
      <c r="F28" s="12" t="s">
        <v>7</v>
      </c>
      <c r="G28" s="13" t="s">
        <v>298</v>
      </c>
      <c r="H28" s="10" t="s">
        <v>208</v>
      </c>
      <c r="I28" s="25">
        <v>2</v>
      </c>
      <c r="J28" s="10">
        <v>240</v>
      </c>
      <c r="K28" s="10" t="s">
        <v>311</v>
      </c>
      <c r="L28" s="10">
        <v>68000</v>
      </c>
      <c r="M28" s="10">
        <v>0.9</v>
      </c>
      <c r="N28" s="10" t="s">
        <v>372</v>
      </c>
      <c r="O28" s="10" t="s">
        <v>372</v>
      </c>
      <c r="P28" s="15">
        <f t="shared" si="0"/>
        <v>27600</v>
      </c>
      <c r="Q28" s="16">
        <v>19525</v>
      </c>
      <c r="R28" s="47"/>
      <c r="S28" s="17">
        <v>18177</v>
      </c>
      <c r="T28" s="18">
        <v>526</v>
      </c>
      <c r="U28" s="18">
        <v>822</v>
      </c>
      <c r="V28" s="18">
        <v>41409</v>
      </c>
      <c r="W28" s="50">
        <f t="shared" si="1"/>
        <v>0.69494512133722686</v>
      </c>
      <c r="X28" s="49">
        <f t="shared" si="2"/>
        <v>0.24622314049586777</v>
      </c>
      <c r="Y28" s="37"/>
      <c r="Z28" s="37"/>
      <c r="AA28" s="62">
        <f t="shared" si="3"/>
        <v>66000</v>
      </c>
      <c r="AB28" s="63" t="str">
        <f t="shared" si="4"/>
        <v>Y</v>
      </c>
      <c r="AC28" s="64">
        <f t="shared" si="5"/>
        <v>66000</v>
      </c>
    </row>
    <row r="29" spans="1:29" ht="26" x14ac:dyDescent="0.35">
      <c r="A29" s="10" t="s">
        <v>373</v>
      </c>
      <c r="B29" s="34">
        <v>50290</v>
      </c>
      <c r="C29" s="35">
        <v>1005710</v>
      </c>
      <c r="D29" s="11" t="s">
        <v>226</v>
      </c>
      <c r="E29" s="10" t="s">
        <v>374</v>
      </c>
      <c r="F29" s="12" t="s">
        <v>7</v>
      </c>
      <c r="G29" s="13" t="s">
        <v>279</v>
      </c>
      <c r="H29" s="10" t="s">
        <v>132</v>
      </c>
      <c r="I29" s="25">
        <v>3</v>
      </c>
      <c r="J29" s="10">
        <v>2700</v>
      </c>
      <c r="K29" s="10" t="s">
        <v>321</v>
      </c>
      <c r="L29" s="10"/>
      <c r="M29" s="10">
        <v>78</v>
      </c>
      <c r="N29" s="10" t="s">
        <v>375</v>
      </c>
      <c r="O29" s="10" t="s">
        <v>375</v>
      </c>
      <c r="P29" s="15">
        <f t="shared" si="0"/>
        <v>310400</v>
      </c>
      <c r="Q29" s="16">
        <v>360430</v>
      </c>
      <c r="R29" s="47"/>
      <c r="S29" s="17">
        <v>340712</v>
      </c>
      <c r="T29" s="17">
        <v>7689</v>
      </c>
      <c r="U29" s="17">
        <v>12030</v>
      </c>
      <c r="V29" s="17">
        <v>550039</v>
      </c>
      <c r="W29" s="50">
        <f t="shared" si="1"/>
        <v>0.61750028908190957</v>
      </c>
      <c r="X29" s="49">
        <f t="shared" si="2"/>
        <v>0.22570158082569564</v>
      </c>
      <c r="Y29" s="17">
        <v>656572</v>
      </c>
      <c r="Z29" s="17">
        <v>419770</v>
      </c>
      <c r="AA29" s="62">
        <f t="shared" si="3"/>
        <v>1076342</v>
      </c>
      <c r="AB29" s="63" t="str">
        <f t="shared" si="4"/>
        <v/>
      </c>
      <c r="AC29" s="64">
        <f t="shared" si="5"/>
        <v>961000</v>
      </c>
    </row>
    <row r="30" spans="1:29" x14ac:dyDescent="0.35">
      <c r="A30" s="10" t="s">
        <v>376</v>
      </c>
      <c r="B30" s="35">
        <v>50878</v>
      </c>
      <c r="C30" s="35">
        <v>1006267</v>
      </c>
      <c r="D30" s="11" t="s">
        <v>243</v>
      </c>
      <c r="E30" s="10" t="s">
        <v>161</v>
      </c>
      <c r="F30" s="12" t="s">
        <v>7</v>
      </c>
      <c r="G30" s="13" t="s">
        <v>284</v>
      </c>
      <c r="H30" s="10" t="s">
        <v>162</v>
      </c>
      <c r="I30" s="25">
        <v>2</v>
      </c>
      <c r="J30" s="10">
        <v>1500</v>
      </c>
      <c r="K30" s="10" t="s">
        <v>311</v>
      </c>
      <c r="L30" s="10"/>
      <c r="M30" s="10">
        <v>46</v>
      </c>
      <c r="N30" s="10" t="s">
        <v>376</v>
      </c>
      <c r="O30" s="10" t="s">
        <v>376</v>
      </c>
      <c r="P30" s="15">
        <f t="shared" si="0"/>
        <v>172500</v>
      </c>
      <c r="Q30" s="16">
        <v>197461</v>
      </c>
      <c r="R30" s="47"/>
      <c r="S30" s="17">
        <v>186902</v>
      </c>
      <c r="T30" s="17">
        <v>4118</v>
      </c>
      <c r="U30" s="17">
        <v>6442</v>
      </c>
      <c r="V30" s="17">
        <v>274585</v>
      </c>
      <c r="W30" s="50">
        <f t="shared" si="1"/>
        <v>0.59500050922344505</v>
      </c>
      <c r="X30" s="49">
        <f t="shared" si="2"/>
        <v>0.26383827373062962</v>
      </c>
      <c r="Y30" s="17">
        <v>290992</v>
      </c>
      <c r="Z30" s="17">
        <v>186043</v>
      </c>
      <c r="AA30" s="62">
        <f t="shared" si="3"/>
        <v>477035</v>
      </c>
      <c r="AB30" s="63" t="str">
        <f t="shared" si="4"/>
        <v/>
      </c>
      <c r="AC30" s="64">
        <f t="shared" si="5"/>
        <v>515000</v>
      </c>
    </row>
    <row r="31" spans="1:29" ht="26" x14ac:dyDescent="0.35">
      <c r="A31" s="10" t="s">
        <v>218</v>
      </c>
      <c r="B31" s="35">
        <v>50877</v>
      </c>
      <c r="C31" s="35">
        <v>1004101</v>
      </c>
      <c r="D31" s="11" t="s">
        <v>245</v>
      </c>
      <c r="E31" s="10" t="s">
        <v>163</v>
      </c>
      <c r="F31" s="12" t="s">
        <v>7</v>
      </c>
      <c r="G31" s="13" t="s">
        <v>285</v>
      </c>
      <c r="H31" s="10" t="s">
        <v>136</v>
      </c>
      <c r="I31" s="25">
        <v>2</v>
      </c>
      <c r="J31" s="10">
        <v>1500</v>
      </c>
      <c r="K31" s="10" t="s">
        <v>311</v>
      </c>
      <c r="L31" s="19"/>
      <c r="M31" s="10">
        <v>40</v>
      </c>
      <c r="N31" s="10" t="s">
        <v>218</v>
      </c>
      <c r="O31" s="10" t="s">
        <v>218</v>
      </c>
      <c r="P31" s="15">
        <f t="shared" si="0"/>
        <v>172500</v>
      </c>
      <c r="Q31" s="16">
        <v>157554</v>
      </c>
      <c r="R31" s="47"/>
      <c r="S31" s="17">
        <v>148671</v>
      </c>
      <c r="T31" s="17">
        <v>3464</v>
      </c>
      <c r="U31" s="17">
        <v>5419</v>
      </c>
      <c r="V31" s="17">
        <v>247785</v>
      </c>
      <c r="W31" s="50">
        <f t="shared" si="1"/>
        <v>0.625</v>
      </c>
      <c r="X31" s="49">
        <f t="shared" si="2"/>
        <v>0.25483899651499259</v>
      </c>
      <c r="Y31" s="17">
        <v>258813</v>
      </c>
      <c r="Z31" s="17">
        <v>165472</v>
      </c>
      <c r="AA31" s="62">
        <f t="shared" si="3"/>
        <v>424285</v>
      </c>
      <c r="AB31" s="63" t="str">
        <f t="shared" si="4"/>
        <v/>
      </c>
      <c r="AC31" s="64">
        <f t="shared" si="5"/>
        <v>433000</v>
      </c>
    </row>
    <row r="32" spans="1:29" x14ac:dyDescent="0.35">
      <c r="A32" s="10" t="s">
        <v>35</v>
      </c>
      <c r="B32" s="35">
        <v>50880</v>
      </c>
      <c r="C32" s="35">
        <v>1004287</v>
      </c>
      <c r="D32" s="11" t="s">
        <v>249</v>
      </c>
      <c r="E32" s="10" t="s">
        <v>168</v>
      </c>
      <c r="F32" s="12" t="s">
        <v>7</v>
      </c>
      <c r="G32" s="13" t="s">
        <v>287</v>
      </c>
      <c r="H32" s="10" t="s">
        <v>136</v>
      </c>
      <c r="I32" s="25">
        <v>2</v>
      </c>
      <c r="J32" s="10">
        <v>1500</v>
      </c>
      <c r="K32" s="10" t="s">
        <v>311</v>
      </c>
      <c r="L32" s="10"/>
      <c r="M32" s="10">
        <v>38</v>
      </c>
      <c r="N32" s="10" t="s">
        <v>35</v>
      </c>
      <c r="O32" s="10" t="s">
        <v>35</v>
      </c>
      <c r="P32" s="15">
        <f t="shared" si="0"/>
        <v>172500</v>
      </c>
      <c r="Q32" s="16">
        <v>122961</v>
      </c>
      <c r="R32" s="47"/>
      <c r="S32" s="17">
        <v>115855</v>
      </c>
      <c r="T32" s="17">
        <v>2768</v>
      </c>
      <c r="U32" s="17">
        <v>4338</v>
      </c>
      <c r="V32" s="17">
        <v>168452</v>
      </c>
      <c r="W32" s="50">
        <f t="shared" si="1"/>
        <v>0.59250036052576971</v>
      </c>
      <c r="X32" s="49">
        <f t="shared" si="2"/>
        <v>0.20934111084276313</v>
      </c>
      <c r="Y32" s="17">
        <v>225939</v>
      </c>
      <c r="Z32" s="17">
        <v>144453</v>
      </c>
      <c r="AA32" s="62">
        <f t="shared" si="3"/>
        <v>370392</v>
      </c>
      <c r="AB32" s="63" t="str">
        <f t="shared" si="4"/>
        <v/>
      </c>
      <c r="AC32" s="64">
        <f t="shared" si="5"/>
        <v>346000</v>
      </c>
    </row>
    <row r="33" spans="1:30" ht="26" x14ac:dyDescent="0.35">
      <c r="A33" s="10" t="s">
        <v>215</v>
      </c>
      <c r="B33" s="34">
        <v>50657</v>
      </c>
      <c r="C33" s="35">
        <v>1000623</v>
      </c>
      <c r="D33" s="11" t="s">
        <v>238</v>
      </c>
      <c r="E33" s="10" t="s">
        <v>152</v>
      </c>
      <c r="F33" s="12" t="s">
        <v>15</v>
      </c>
      <c r="G33" s="13">
        <v>20842</v>
      </c>
      <c r="H33" s="10" t="s">
        <v>153</v>
      </c>
      <c r="I33" s="25">
        <v>3</v>
      </c>
      <c r="J33" s="10">
        <v>1800</v>
      </c>
      <c r="K33" s="10" t="s">
        <v>311</v>
      </c>
      <c r="L33" s="10"/>
      <c r="M33" s="10">
        <v>63.4</v>
      </c>
      <c r="N33" s="10" t="s">
        <v>377</v>
      </c>
      <c r="O33" s="10" t="s">
        <v>378</v>
      </c>
      <c r="P33" s="15">
        <f t="shared" si="0"/>
        <v>207000</v>
      </c>
      <c r="Q33" s="16">
        <v>208681</v>
      </c>
      <c r="R33" s="47"/>
      <c r="S33" s="17">
        <v>196026</v>
      </c>
      <c r="T33" s="17">
        <v>4935</v>
      </c>
      <c r="U33" s="17">
        <v>7720</v>
      </c>
      <c r="V33" s="17">
        <v>372162</v>
      </c>
      <c r="W33" s="50">
        <f t="shared" si="1"/>
        <v>0.65499799362182942</v>
      </c>
      <c r="X33" s="49">
        <f t="shared" si="2"/>
        <v>0.25709491989256261</v>
      </c>
      <c r="Y33" s="17">
        <v>367667</v>
      </c>
      <c r="Z33" s="17">
        <v>235069</v>
      </c>
      <c r="AA33" s="62">
        <f t="shared" si="3"/>
        <v>602736</v>
      </c>
      <c r="AB33" s="63" t="str">
        <f t="shared" si="4"/>
        <v/>
      </c>
      <c r="AC33" s="64">
        <f t="shared" si="5"/>
        <v>617000</v>
      </c>
    </row>
    <row r="34" spans="1:30" x14ac:dyDescent="0.35">
      <c r="A34" s="10" t="s">
        <v>379</v>
      </c>
      <c r="B34" s="35">
        <v>10629</v>
      </c>
      <c r="C34" s="35">
        <v>1004094</v>
      </c>
      <c r="D34" s="11" t="s">
        <v>233</v>
      </c>
      <c r="E34" s="10" t="s">
        <v>144</v>
      </c>
      <c r="F34" s="12" t="s">
        <v>15</v>
      </c>
      <c r="G34" s="13">
        <v>21230</v>
      </c>
      <c r="H34" s="10" t="s">
        <v>144</v>
      </c>
      <c r="I34" s="25">
        <v>3</v>
      </c>
      <c r="J34" s="10">
        <v>2250</v>
      </c>
      <c r="K34" s="10" t="s">
        <v>311</v>
      </c>
      <c r="L34" s="15">
        <v>170000</v>
      </c>
      <c r="M34" s="10">
        <v>60</v>
      </c>
      <c r="N34" s="10" t="s">
        <v>379</v>
      </c>
      <c r="O34" s="10" t="s">
        <v>379</v>
      </c>
      <c r="P34" s="15">
        <f t="shared" si="0"/>
        <v>258700</v>
      </c>
      <c r="Q34" s="16">
        <v>311773</v>
      </c>
      <c r="R34" s="47"/>
      <c r="S34" s="17">
        <v>296611</v>
      </c>
      <c r="T34" s="17">
        <v>5912</v>
      </c>
      <c r="U34" s="17">
        <v>9250</v>
      </c>
      <c r="V34" s="17">
        <v>435761</v>
      </c>
      <c r="W34" s="50">
        <f t="shared" si="1"/>
        <v>0.59499953575505349</v>
      </c>
      <c r="X34" s="49">
        <f t="shared" si="2"/>
        <v>0.29705782262568753</v>
      </c>
      <c r="Y34" s="17">
        <v>410158</v>
      </c>
      <c r="Z34" s="17">
        <v>262229</v>
      </c>
      <c r="AA34" s="62">
        <f t="shared" si="3"/>
        <v>672387</v>
      </c>
      <c r="AB34" s="63" t="str">
        <f t="shared" si="4"/>
        <v/>
      </c>
      <c r="AC34" s="64">
        <f t="shared" si="5"/>
        <v>739000</v>
      </c>
    </row>
    <row r="35" spans="1:30" x14ac:dyDescent="0.35">
      <c r="A35" s="10" t="s">
        <v>380</v>
      </c>
      <c r="B35" s="35">
        <v>50225</v>
      </c>
      <c r="C35" s="35">
        <v>1005673</v>
      </c>
      <c r="D35" s="11" t="s">
        <v>264</v>
      </c>
      <c r="E35" s="10" t="s">
        <v>191</v>
      </c>
      <c r="F35" s="12" t="s">
        <v>28</v>
      </c>
      <c r="G35" s="13" t="s">
        <v>278</v>
      </c>
      <c r="H35" s="10" t="s">
        <v>192</v>
      </c>
      <c r="I35" s="25">
        <v>2</v>
      </c>
      <c r="J35" s="10">
        <v>550</v>
      </c>
      <c r="K35" s="10" t="s">
        <v>311</v>
      </c>
      <c r="L35" s="10"/>
      <c r="M35" s="10">
        <v>14.7</v>
      </c>
      <c r="N35" s="10" t="s">
        <v>380</v>
      </c>
      <c r="O35" s="10" t="s">
        <v>380</v>
      </c>
      <c r="P35" s="15">
        <f t="shared" si="0"/>
        <v>63200</v>
      </c>
      <c r="Q35" s="16">
        <v>56102</v>
      </c>
      <c r="R35" s="47"/>
      <c r="S35" s="17">
        <v>53073</v>
      </c>
      <c r="T35" s="17">
        <v>1181</v>
      </c>
      <c r="U35" s="17">
        <v>1848</v>
      </c>
      <c r="V35" s="17">
        <v>81661</v>
      </c>
      <c r="W35" s="50">
        <f t="shared" si="1"/>
        <v>0.60609051909688716</v>
      </c>
      <c r="X35" s="49">
        <f t="shared" si="2"/>
        <v>0.20756259455040479</v>
      </c>
      <c r="Y35" s="17">
        <v>107989</v>
      </c>
      <c r="Z35" s="17">
        <v>69045</v>
      </c>
      <c r="AA35" s="62">
        <f t="shared" si="3"/>
        <v>177034</v>
      </c>
      <c r="AB35" s="63" t="str">
        <f t="shared" si="4"/>
        <v/>
      </c>
      <c r="AC35" s="64">
        <f t="shared" si="5"/>
        <v>148000</v>
      </c>
    </row>
    <row r="36" spans="1:30" ht="26" x14ac:dyDescent="0.35">
      <c r="A36" s="10" t="s">
        <v>480</v>
      </c>
      <c r="B36" s="35">
        <v>50035</v>
      </c>
      <c r="C36" s="34" t="s">
        <v>4</v>
      </c>
      <c r="D36" s="11" t="s">
        <v>479</v>
      </c>
      <c r="E36" s="10" t="s">
        <v>382</v>
      </c>
      <c r="F36" s="12" t="s">
        <v>28</v>
      </c>
      <c r="G36" s="13" t="s">
        <v>293</v>
      </c>
      <c r="H36" s="12" t="s">
        <v>383</v>
      </c>
      <c r="I36" s="25">
        <v>2</v>
      </c>
      <c r="J36" s="10">
        <v>200</v>
      </c>
      <c r="K36" s="10" t="s">
        <v>311</v>
      </c>
      <c r="L36" s="19"/>
      <c r="M36" s="10">
        <v>5</v>
      </c>
      <c r="N36" s="10" t="s">
        <v>381</v>
      </c>
      <c r="O36" s="10" t="s">
        <v>381</v>
      </c>
      <c r="P36" s="15">
        <f>ROUND(J36*365*0.9*0.3*0.35*(44/12)/1.1,-2)</f>
        <v>23000</v>
      </c>
      <c r="Q36" s="38">
        <f>SUM(S36:U36)</f>
        <v>29368.925084000002</v>
      </c>
      <c r="R36" s="48" t="s">
        <v>505</v>
      </c>
      <c r="S36" s="39">
        <f>ROUND(AA36*0.39*0.3*(44/12)/1.1,-2)</f>
        <v>27900</v>
      </c>
      <c r="T36" s="39">
        <f>SUM(Y36:Z36)*(5000*2000/10^6)*(3.2*10^-2)/1000*25</f>
        <v>572.79200000000003</v>
      </c>
      <c r="U36" s="39">
        <f>SUM(Y36:Z36)*(5000*2000/10^6)*(4.2*10^-3)/1000*298</f>
        <v>896.13308400000017</v>
      </c>
      <c r="V36" s="39">
        <f>ROUND(Y36*0.3*(44/12)/1.1,-2)</f>
        <v>43700</v>
      </c>
      <c r="W36" s="50">
        <f t="shared" si="1"/>
        <v>0.61033519553072624</v>
      </c>
      <c r="X36" s="49">
        <f t="shared" si="2"/>
        <v>0.27273108182059419</v>
      </c>
      <c r="Y36" s="17">
        <v>43675</v>
      </c>
      <c r="Z36" s="17">
        <v>27924</v>
      </c>
      <c r="AA36" s="62">
        <f t="shared" si="3"/>
        <v>71599</v>
      </c>
      <c r="AB36" s="63" t="str">
        <f t="shared" si="4"/>
        <v/>
      </c>
      <c r="AC36" s="64">
        <f>ROUND((T36/25*1000/(3.2*10^-2)/(5000*2000/10^6)),-3)</f>
        <v>72000</v>
      </c>
      <c r="AD36" s="66"/>
    </row>
    <row r="37" spans="1:30" ht="26" x14ac:dyDescent="0.35">
      <c r="A37" s="10" t="s">
        <v>384</v>
      </c>
      <c r="B37" s="35">
        <v>50051</v>
      </c>
      <c r="C37" s="35">
        <v>1000047</v>
      </c>
      <c r="D37" s="11" t="s">
        <v>266</v>
      </c>
      <c r="E37" s="10" t="s">
        <v>194</v>
      </c>
      <c r="F37" s="12" t="s">
        <v>28</v>
      </c>
      <c r="G37" s="13" t="s">
        <v>294</v>
      </c>
      <c r="H37" s="10" t="s">
        <v>195</v>
      </c>
      <c r="I37" s="25">
        <v>2</v>
      </c>
      <c r="J37" s="10">
        <v>720</v>
      </c>
      <c r="K37" s="10" t="s">
        <v>321</v>
      </c>
      <c r="L37" s="10"/>
      <c r="M37" s="10">
        <v>25</v>
      </c>
      <c r="N37" s="10" t="s">
        <v>385</v>
      </c>
      <c r="O37" s="10" t="s">
        <v>386</v>
      </c>
      <c r="P37" s="15">
        <f t="shared" ref="P37:P67" si="6">ROUND(J37*365*0.9*0.3*0.35*(44/12)/1.1,-2)</f>
        <v>82800</v>
      </c>
      <c r="Q37" s="16">
        <v>55741</v>
      </c>
      <c r="R37" s="47"/>
      <c r="S37" s="17">
        <v>52746</v>
      </c>
      <c r="T37" s="17">
        <v>1167</v>
      </c>
      <c r="U37" s="17">
        <v>1828</v>
      </c>
      <c r="V37" s="17">
        <v>82895</v>
      </c>
      <c r="W37" s="50">
        <f t="shared" si="1"/>
        <v>0.61113527620704655</v>
      </c>
      <c r="X37" s="49">
        <f t="shared" si="2"/>
        <v>0.23435391603474162</v>
      </c>
      <c r="Y37" s="17">
        <v>96289</v>
      </c>
      <c r="Z37" s="17">
        <v>61562</v>
      </c>
      <c r="AA37" s="62">
        <f t="shared" si="3"/>
        <v>157851</v>
      </c>
      <c r="AB37" s="63" t="str">
        <f t="shared" si="4"/>
        <v/>
      </c>
      <c r="AC37" s="64">
        <f t="shared" si="5"/>
        <v>146000</v>
      </c>
    </row>
    <row r="38" spans="1:30" x14ac:dyDescent="0.35">
      <c r="A38" s="10" t="s">
        <v>468</v>
      </c>
      <c r="B38" s="35">
        <v>15430</v>
      </c>
      <c r="C38" s="35">
        <v>1004125</v>
      </c>
      <c r="D38" s="11" t="s">
        <v>22</v>
      </c>
      <c r="E38" s="10" t="s">
        <v>469</v>
      </c>
      <c r="F38" s="12" t="s">
        <v>12</v>
      </c>
      <c r="G38" s="13">
        <v>48211</v>
      </c>
      <c r="H38" s="10"/>
      <c r="I38" s="25"/>
      <c r="J38" s="10"/>
      <c r="K38" s="10"/>
      <c r="L38" s="10"/>
      <c r="M38" s="10"/>
      <c r="N38" s="10"/>
      <c r="O38" s="10"/>
      <c r="P38" s="15">
        <f t="shared" si="6"/>
        <v>0</v>
      </c>
      <c r="Q38" s="16">
        <v>47300</v>
      </c>
      <c r="R38" s="47"/>
      <c r="S38" s="17">
        <v>43969</v>
      </c>
      <c r="T38" s="18">
        <v>1297</v>
      </c>
      <c r="U38" s="18">
        <v>2034</v>
      </c>
      <c r="V38" s="18">
        <v>71740</v>
      </c>
      <c r="W38" s="50">
        <f t="shared" si="1"/>
        <v>0.62000362979543511</v>
      </c>
      <c r="X38" s="49">
        <f t="shared" si="2"/>
        <v>0.19443742721766613</v>
      </c>
      <c r="Y38" s="17">
        <v>99002</v>
      </c>
      <c r="Z38" s="17">
        <v>63297</v>
      </c>
      <c r="AA38" s="62">
        <f t="shared" si="3"/>
        <v>162299</v>
      </c>
      <c r="AB38" s="63" t="str">
        <f t="shared" si="4"/>
        <v/>
      </c>
      <c r="AC38" s="64">
        <f t="shared" si="5"/>
        <v>162000</v>
      </c>
    </row>
    <row r="39" spans="1:30" ht="26" x14ac:dyDescent="0.35">
      <c r="A39" s="12" t="s">
        <v>387</v>
      </c>
      <c r="B39" s="34">
        <v>50860</v>
      </c>
      <c r="C39" s="35">
        <v>1003387</v>
      </c>
      <c r="D39" s="11" t="s">
        <v>262</v>
      </c>
      <c r="E39" s="10" t="s">
        <v>186</v>
      </c>
      <c r="F39" s="12" t="s">
        <v>12</v>
      </c>
      <c r="G39" s="13">
        <v>49503</v>
      </c>
      <c r="H39" s="10" t="s">
        <v>187</v>
      </c>
      <c r="I39" s="25">
        <v>2</v>
      </c>
      <c r="J39" s="10">
        <v>625</v>
      </c>
      <c r="K39" s="10" t="s">
        <v>311</v>
      </c>
      <c r="L39" s="10"/>
      <c r="M39" s="10">
        <v>16.8</v>
      </c>
      <c r="N39" s="10" t="s">
        <v>388</v>
      </c>
      <c r="O39" s="10" t="s">
        <v>389</v>
      </c>
      <c r="P39" s="15">
        <f t="shared" si="6"/>
        <v>71900</v>
      </c>
      <c r="Q39" s="16">
        <v>62956</v>
      </c>
      <c r="R39" s="47"/>
      <c r="S39" s="17">
        <v>59207</v>
      </c>
      <c r="T39" s="18">
        <v>1462</v>
      </c>
      <c r="U39" s="18">
        <v>2287</v>
      </c>
      <c r="V39" s="18">
        <v>107172</v>
      </c>
      <c r="W39" s="50">
        <f t="shared" si="1"/>
        <v>0.64414379218531181</v>
      </c>
      <c r="X39" s="49">
        <f t="shared" si="2"/>
        <v>0.24386307939448656</v>
      </c>
      <c r="Y39" s="17">
        <v>113504</v>
      </c>
      <c r="Z39" s="17">
        <v>72568</v>
      </c>
      <c r="AA39" s="62">
        <f t="shared" si="3"/>
        <v>186072</v>
      </c>
      <c r="AB39" s="63" t="str">
        <f t="shared" si="4"/>
        <v/>
      </c>
      <c r="AC39" s="64">
        <f t="shared" si="5"/>
        <v>183000</v>
      </c>
    </row>
    <row r="40" spans="1:30" x14ac:dyDescent="0.35">
      <c r="A40" s="10" t="s">
        <v>390</v>
      </c>
      <c r="B40" s="35">
        <v>10013</v>
      </c>
      <c r="C40" s="35">
        <v>1004795</v>
      </c>
      <c r="D40" s="11" t="s">
        <v>23</v>
      </c>
      <c r="E40" s="10" t="s">
        <v>24</v>
      </c>
      <c r="F40" s="12" t="s">
        <v>25</v>
      </c>
      <c r="G40" s="13">
        <v>55405</v>
      </c>
      <c r="H40" s="10" t="s">
        <v>174</v>
      </c>
      <c r="I40" s="25">
        <v>2</v>
      </c>
      <c r="J40" s="10">
        <v>1212</v>
      </c>
      <c r="K40" s="10" t="s">
        <v>311</v>
      </c>
      <c r="L40" s="10">
        <v>20000</v>
      </c>
      <c r="M40" s="10">
        <v>36.700000000000003</v>
      </c>
      <c r="N40" s="10" t="s">
        <v>391</v>
      </c>
      <c r="O40" s="10" t="s">
        <v>392</v>
      </c>
      <c r="P40" s="15">
        <f t="shared" si="6"/>
        <v>139300</v>
      </c>
      <c r="Q40" s="16">
        <v>151541</v>
      </c>
      <c r="R40" s="47"/>
      <c r="S40" s="17">
        <v>143909</v>
      </c>
      <c r="T40" s="18">
        <v>2977</v>
      </c>
      <c r="U40" s="18">
        <v>4656</v>
      </c>
      <c r="V40" s="18">
        <v>200785</v>
      </c>
      <c r="W40" s="50">
        <f t="shared" si="1"/>
        <v>0.58250216133730204</v>
      </c>
      <c r="X40" s="49">
        <f t="shared" si="2"/>
        <v>0.27322665127840906</v>
      </c>
      <c r="Y40" s="17">
        <v>209879</v>
      </c>
      <c r="Z40" s="17">
        <v>134185</v>
      </c>
      <c r="AA40" s="62">
        <f t="shared" si="3"/>
        <v>344064</v>
      </c>
      <c r="AB40" s="63" t="str">
        <f t="shared" si="4"/>
        <v/>
      </c>
      <c r="AC40" s="64">
        <f t="shared" si="5"/>
        <v>372000</v>
      </c>
    </row>
    <row r="41" spans="1:30" x14ac:dyDescent="0.35">
      <c r="A41" s="10" t="s">
        <v>393</v>
      </c>
      <c r="B41" s="35">
        <v>50413</v>
      </c>
      <c r="C41" s="35">
        <v>1005528</v>
      </c>
      <c r="D41" s="11" t="s">
        <v>270</v>
      </c>
      <c r="E41" s="10" t="s">
        <v>131</v>
      </c>
      <c r="F41" s="12" t="s">
        <v>25</v>
      </c>
      <c r="G41" s="13">
        <v>55906</v>
      </c>
      <c r="H41" s="10" t="s">
        <v>202</v>
      </c>
      <c r="I41" s="25">
        <v>3</v>
      </c>
      <c r="J41" s="10">
        <v>400</v>
      </c>
      <c r="K41" s="10" t="s">
        <v>311</v>
      </c>
      <c r="L41" s="19">
        <v>61000</v>
      </c>
      <c r="M41" s="10">
        <v>9.5</v>
      </c>
      <c r="N41" s="10" t="s">
        <v>394</v>
      </c>
      <c r="O41" s="10" t="s">
        <v>394</v>
      </c>
      <c r="P41" s="15">
        <f t="shared" si="6"/>
        <v>46000</v>
      </c>
      <c r="Q41" s="16">
        <v>57686</v>
      </c>
      <c r="R41" s="47"/>
      <c r="S41" s="17">
        <v>54991</v>
      </c>
      <c r="T41" s="17">
        <v>1051</v>
      </c>
      <c r="U41" s="17">
        <v>1644</v>
      </c>
      <c r="V41" s="17">
        <v>66106</v>
      </c>
      <c r="W41" s="50">
        <f t="shared" si="1"/>
        <v>0.54589296184050806</v>
      </c>
      <c r="X41" s="49">
        <f t="shared" si="2"/>
        <v>0.2834937470639371</v>
      </c>
      <c r="Y41" s="17">
        <v>71064</v>
      </c>
      <c r="Z41" s="17">
        <v>45434</v>
      </c>
      <c r="AA41" s="62">
        <f t="shared" si="3"/>
        <v>116498</v>
      </c>
      <c r="AB41" s="63" t="str">
        <f t="shared" si="4"/>
        <v/>
      </c>
      <c r="AC41" s="64">
        <f t="shared" si="5"/>
        <v>131000</v>
      </c>
    </row>
    <row r="42" spans="1:30" ht="26" x14ac:dyDescent="0.35">
      <c r="A42" s="10" t="s">
        <v>221</v>
      </c>
      <c r="B42" s="35"/>
      <c r="C42" s="35">
        <v>1006340</v>
      </c>
      <c r="D42" s="11" t="s">
        <v>276</v>
      </c>
      <c r="E42" s="10" t="s">
        <v>209</v>
      </c>
      <c r="F42" s="12" t="s">
        <v>25</v>
      </c>
      <c r="G42" s="13">
        <v>56573</v>
      </c>
      <c r="H42" s="10" t="s">
        <v>210</v>
      </c>
      <c r="I42" s="25">
        <v>2</v>
      </c>
      <c r="J42" s="10">
        <v>200</v>
      </c>
      <c r="K42" s="10" t="s">
        <v>311</v>
      </c>
      <c r="L42" s="10">
        <v>30000</v>
      </c>
      <c r="M42" s="10">
        <v>4.5</v>
      </c>
      <c r="N42" s="10" t="s">
        <v>395</v>
      </c>
      <c r="O42" s="10" t="s">
        <v>395</v>
      </c>
      <c r="P42" s="15">
        <f t="shared" si="6"/>
        <v>23000</v>
      </c>
      <c r="Q42" s="16">
        <v>28374</v>
      </c>
      <c r="R42" s="47"/>
      <c r="S42" s="17">
        <v>27410</v>
      </c>
      <c r="T42" s="17">
        <v>377</v>
      </c>
      <c r="U42" s="17">
        <v>587</v>
      </c>
      <c r="V42" s="17">
        <v>23324</v>
      </c>
      <c r="W42" s="50">
        <f t="shared" si="1"/>
        <v>0.45973114676548271</v>
      </c>
      <c r="X42" s="49">
        <f t="shared" si="2"/>
        <v>0.294394584139265</v>
      </c>
      <c r="Y42" s="17"/>
      <c r="Z42" s="17"/>
      <c r="AA42" s="62">
        <f t="shared" si="3"/>
        <v>47000</v>
      </c>
      <c r="AB42" s="63" t="str">
        <f t="shared" si="4"/>
        <v>Y</v>
      </c>
      <c r="AC42" s="64">
        <f t="shared" si="5"/>
        <v>47000</v>
      </c>
    </row>
    <row r="43" spans="1:30" ht="26" x14ac:dyDescent="0.35">
      <c r="A43" s="10" t="s">
        <v>396</v>
      </c>
      <c r="B43" s="35" t="s">
        <v>4</v>
      </c>
      <c r="C43" s="35" t="s">
        <v>4</v>
      </c>
      <c r="E43" s="10" t="s">
        <v>397</v>
      </c>
      <c r="F43" s="12" t="s">
        <v>25</v>
      </c>
      <c r="G43" s="13"/>
      <c r="H43" s="10" t="s">
        <v>398</v>
      </c>
      <c r="I43" s="25">
        <v>2</v>
      </c>
      <c r="J43" s="10">
        <v>80</v>
      </c>
      <c r="K43" s="10" t="s">
        <v>369</v>
      </c>
      <c r="L43" s="10">
        <v>21000</v>
      </c>
      <c r="M43" s="14">
        <v>0</v>
      </c>
      <c r="N43" s="10" t="s">
        <v>399</v>
      </c>
      <c r="O43" s="10" t="s">
        <v>399</v>
      </c>
      <c r="P43" s="15">
        <f>ROUND(J43*365*0.9*0.3*0.35*(44/12)/1.1,-2)</f>
        <v>9200</v>
      </c>
      <c r="Q43" s="38">
        <f>SUM(S43:U43)</f>
        <v>9739.1604800000005</v>
      </c>
      <c r="R43" s="48" t="s">
        <v>505</v>
      </c>
      <c r="S43" s="39">
        <f>P43</f>
        <v>9200</v>
      </c>
      <c r="T43" s="39">
        <f>(J43*365*0.9)*(5000*2000/10^6)*(3.2*10^-2)/1000*25</f>
        <v>210.24000000000004</v>
      </c>
      <c r="U43" s="39">
        <f>(J43*365*0.9)*(5000*2000/10^6)*(4.2*10^-3)/1000*298</f>
        <v>328.92048000000011</v>
      </c>
      <c r="V43" s="39">
        <f>ROUND(J43*365*0.9*0.3*0.65*(44/12)/1.1,-2)</f>
        <v>17100</v>
      </c>
      <c r="W43" s="50">
        <f t="shared" si="1"/>
        <v>0.65019011406844107</v>
      </c>
      <c r="X43" s="49">
        <f t="shared" si="2"/>
        <v>0.27587412587412585</v>
      </c>
      <c r="Y43" s="37"/>
      <c r="Z43" s="37"/>
      <c r="AA43" s="62">
        <f t="shared" si="3"/>
        <v>26000</v>
      </c>
      <c r="AB43" s="63" t="str">
        <f t="shared" si="4"/>
        <v>Y</v>
      </c>
      <c r="AC43" s="64">
        <f t="shared" si="5"/>
        <v>26000</v>
      </c>
    </row>
    <row r="44" spans="1:30" ht="26" x14ac:dyDescent="0.35">
      <c r="A44" s="10" t="s">
        <v>400</v>
      </c>
      <c r="B44" s="35" t="s">
        <v>4</v>
      </c>
      <c r="C44" s="35">
        <v>1004475</v>
      </c>
      <c r="D44" s="11" t="s">
        <v>277</v>
      </c>
      <c r="E44" s="10" t="s">
        <v>171</v>
      </c>
      <c r="F44" s="12" t="s">
        <v>25</v>
      </c>
      <c r="G44" s="13">
        <v>56308</v>
      </c>
      <c r="H44" s="10" t="s">
        <v>211</v>
      </c>
      <c r="I44" s="25">
        <v>3</v>
      </c>
      <c r="J44" s="10">
        <v>240</v>
      </c>
      <c r="K44" s="10" t="s">
        <v>311</v>
      </c>
      <c r="L44" s="10">
        <v>36000</v>
      </c>
      <c r="M44" s="10">
        <v>0.5</v>
      </c>
      <c r="N44" s="10" t="s">
        <v>401</v>
      </c>
      <c r="O44" s="10" t="s">
        <v>401</v>
      </c>
      <c r="P44" s="15">
        <f t="shared" si="6"/>
        <v>27600</v>
      </c>
      <c r="Q44" s="16">
        <v>28598</v>
      </c>
      <c r="R44" s="47"/>
      <c r="S44" s="17">
        <v>27289</v>
      </c>
      <c r="T44" s="17">
        <v>510</v>
      </c>
      <c r="U44" s="17">
        <v>798</v>
      </c>
      <c r="V44" s="17">
        <v>31222</v>
      </c>
      <c r="W44" s="50">
        <f t="shared" si="1"/>
        <v>0.53360906496214389</v>
      </c>
      <c r="X44" s="49">
        <f t="shared" si="2"/>
        <v>0.24933664772727271</v>
      </c>
      <c r="Y44" s="37"/>
      <c r="Z44" s="37"/>
      <c r="AA44" s="62">
        <f t="shared" si="3"/>
        <v>64000</v>
      </c>
      <c r="AB44" s="63" t="str">
        <f t="shared" si="4"/>
        <v>Y</v>
      </c>
      <c r="AC44" s="64">
        <f t="shared" si="5"/>
        <v>64000</v>
      </c>
    </row>
    <row r="45" spans="1:30" x14ac:dyDescent="0.35">
      <c r="A45" s="10" t="s">
        <v>402</v>
      </c>
      <c r="B45" s="35">
        <v>1926</v>
      </c>
      <c r="C45" s="35">
        <v>1006774</v>
      </c>
      <c r="D45" s="11" t="s">
        <v>470</v>
      </c>
      <c r="E45" s="10" t="s">
        <v>88</v>
      </c>
      <c r="F45" s="12" t="s">
        <v>25</v>
      </c>
      <c r="G45" s="13" t="s">
        <v>471</v>
      </c>
      <c r="H45" s="10" t="s">
        <v>403</v>
      </c>
      <c r="I45" s="25">
        <v>2</v>
      </c>
      <c r="J45" s="10">
        <v>720</v>
      </c>
      <c r="K45" s="10" t="s">
        <v>321</v>
      </c>
      <c r="L45" s="10"/>
      <c r="M45" s="10">
        <v>24</v>
      </c>
      <c r="N45" s="10" t="s">
        <v>404</v>
      </c>
      <c r="O45" s="10" t="s">
        <v>404</v>
      </c>
      <c r="P45" s="15">
        <f t="shared" si="6"/>
        <v>82800</v>
      </c>
      <c r="Q45" s="16">
        <v>99557</v>
      </c>
      <c r="R45" s="47"/>
      <c r="S45" s="17">
        <v>94367</v>
      </c>
      <c r="T45" s="17">
        <v>2024</v>
      </c>
      <c r="U45" s="17">
        <v>3166</v>
      </c>
      <c r="V45" s="17">
        <v>136031</v>
      </c>
      <c r="W45" s="50">
        <f t="shared" si="1"/>
        <v>0.59041745154037795</v>
      </c>
      <c r="X45" s="49">
        <f t="shared" si="2"/>
        <v>0.26266519321563964</v>
      </c>
      <c r="Y45" s="17">
        <v>145927</v>
      </c>
      <c r="Z45" s="17">
        <v>93297</v>
      </c>
      <c r="AA45" s="62">
        <f t="shared" si="3"/>
        <v>239224</v>
      </c>
      <c r="AB45" s="63" t="str">
        <f t="shared" si="4"/>
        <v/>
      </c>
      <c r="AC45" s="64">
        <f t="shared" si="5"/>
        <v>253000</v>
      </c>
    </row>
    <row r="46" spans="1:30" x14ac:dyDescent="0.35">
      <c r="A46" s="10" t="s">
        <v>405</v>
      </c>
      <c r="B46" s="35">
        <v>1934</v>
      </c>
      <c r="C46" s="35">
        <v>1003410</v>
      </c>
      <c r="D46" s="11" t="s">
        <v>472</v>
      </c>
      <c r="E46" s="10" t="s">
        <v>406</v>
      </c>
      <c r="F46" s="12" t="s">
        <v>25</v>
      </c>
      <c r="G46" s="13" t="s">
        <v>473</v>
      </c>
      <c r="H46" s="10" t="s">
        <v>407</v>
      </c>
      <c r="I46" s="25">
        <v>2</v>
      </c>
      <c r="J46" s="10">
        <v>720</v>
      </c>
      <c r="K46" s="10" t="s">
        <v>321</v>
      </c>
      <c r="L46" s="10"/>
      <c r="M46" s="10">
        <v>19</v>
      </c>
      <c r="N46" s="10" t="s">
        <v>404</v>
      </c>
      <c r="O46" s="10" t="s">
        <v>404</v>
      </c>
      <c r="P46" s="15">
        <f t="shared" si="6"/>
        <v>82800</v>
      </c>
      <c r="Q46" s="16">
        <v>78886</v>
      </c>
      <c r="R46" s="47"/>
      <c r="S46" s="17">
        <v>74973</v>
      </c>
      <c r="T46" s="17">
        <v>1526</v>
      </c>
      <c r="U46" s="17">
        <v>2387</v>
      </c>
      <c r="V46" s="17">
        <v>100271</v>
      </c>
      <c r="W46" s="50">
        <f t="shared" si="1"/>
        <v>0.57217936134760672</v>
      </c>
      <c r="X46" s="49">
        <f t="shared" si="2"/>
        <v>0.26317457218588791</v>
      </c>
      <c r="Y46" s="17">
        <v>110782</v>
      </c>
      <c r="Z46" s="17">
        <v>70823</v>
      </c>
      <c r="AA46" s="62">
        <f t="shared" si="3"/>
        <v>181605</v>
      </c>
      <c r="AB46" s="63" t="str">
        <f t="shared" si="4"/>
        <v/>
      </c>
      <c r="AC46" s="64">
        <f t="shared" si="5"/>
        <v>191000</v>
      </c>
    </row>
    <row r="47" spans="1:30" x14ac:dyDescent="0.35">
      <c r="A47" s="10" t="s">
        <v>408</v>
      </c>
      <c r="B47" s="35">
        <v>50873</v>
      </c>
      <c r="C47" s="35">
        <v>1006369</v>
      </c>
      <c r="D47" s="11" t="s">
        <v>260</v>
      </c>
      <c r="E47" s="10" t="s">
        <v>409</v>
      </c>
      <c r="F47" s="12" t="s">
        <v>32</v>
      </c>
      <c r="G47" s="13" t="s">
        <v>290</v>
      </c>
      <c r="H47" s="10" t="s">
        <v>184</v>
      </c>
      <c r="I47" s="25">
        <v>2</v>
      </c>
      <c r="J47" s="10">
        <v>500</v>
      </c>
      <c r="K47" s="10" t="s">
        <v>311</v>
      </c>
      <c r="L47" s="10"/>
      <c r="M47" s="10">
        <v>14</v>
      </c>
      <c r="N47" s="10" t="s">
        <v>410</v>
      </c>
      <c r="O47" s="10" t="s">
        <v>410</v>
      </c>
      <c r="P47" s="15">
        <f t="shared" si="6"/>
        <v>57500</v>
      </c>
      <c r="Q47" s="16">
        <v>71401</v>
      </c>
      <c r="R47" s="47"/>
      <c r="S47" s="17">
        <v>67791</v>
      </c>
      <c r="T47" s="17">
        <v>1408</v>
      </c>
      <c r="U47" s="17">
        <v>2203</v>
      </c>
      <c r="V47" s="17">
        <v>92065</v>
      </c>
      <c r="W47" s="50">
        <f t="shared" si="1"/>
        <v>0.57592458212391151</v>
      </c>
      <c r="X47" s="49">
        <f t="shared" si="2"/>
        <v>0.22920504131796912</v>
      </c>
      <c r="Y47" s="17">
        <v>116027</v>
      </c>
      <c r="Z47" s="17">
        <v>74183</v>
      </c>
      <c r="AA47" s="62">
        <f t="shared" si="3"/>
        <v>190210</v>
      </c>
      <c r="AB47" s="63" t="str">
        <f t="shared" si="4"/>
        <v/>
      </c>
      <c r="AC47" s="64">
        <f t="shared" si="5"/>
        <v>176000</v>
      </c>
    </row>
    <row r="48" spans="1:30" x14ac:dyDescent="0.35">
      <c r="A48" s="10" t="s">
        <v>411</v>
      </c>
      <c r="B48" s="34">
        <v>10435</v>
      </c>
      <c r="C48" s="35">
        <v>1000362</v>
      </c>
      <c r="D48" s="11" t="s">
        <v>248</v>
      </c>
      <c r="E48" s="10" t="s">
        <v>167</v>
      </c>
      <c r="F48" s="12" t="s">
        <v>5</v>
      </c>
      <c r="G48" s="13" t="s">
        <v>286</v>
      </c>
      <c r="H48" s="10" t="s">
        <v>167</v>
      </c>
      <c r="I48" s="25">
        <v>3</v>
      </c>
      <c r="J48" s="10">
        <v>1050</v>
      </c>
      <c r="K48" s="10" t="s">
        <v>311</v>
      </c>
      <c r="L48" s="10"/>
      <c r="M48" s="10">
        <v>34</v>
      </c>
      <c r="N48" s="10" t="s">
        <v>412</v>
      </c>
      <c r="O48" s="10" t="s">
        <v>412</v>
      </c>
      <c r="P48" s="15">
        <f t="shared" si="6"/>
        <v>120700</v>
      </c>
      <c r="Q48" s="16">
        <v>126388</v>
      </c>
      <c r="R48" s="47"/>
      <c r="S48" s="17">
        <v>119739</v>
      </c>
      <c r="T48" s="18">
        <v>2593</v>
      </c>
      <c r="U48" s="18">
        <v>4056</v>
      </c>
      <c r="V48" s="18">
        <v>177002</v>
      </c>
      <c r="W48" s="50">
        <f t="shared" si="1"/>
        <v>0.59648649832682377</v>
      </c>
      <c r="X48" s="49">
        <f t="shared" si="2"/>
        <v>0.21820726114802683</v>
      </c>
      <c r="Y48" s="18">
        <v>226241</v>
      </c>
      <c r="Z48" s="18">
        <v>144642</v>
      </c>
      <c r="AA48" s="62">
        <f t="shared" si="3"/>
        <v>370883</v>
      </c>
      <c r="AB48" s="63" t="str">
        <f t="shared" si="4"/>
        <v/>
      </c>
      <c r="AC48" s="64">
        <f t="shared" si="5"/>
        <v>324000</v>
      </c>
    </row>
    <row r="49" spans="1:29" x14ac:dyDescent="0.35">
      <c r="A49" s="10" t="s">
        <v>467</v>
      </c>
      <c r="B49" s="35">
        <v>10012</v>
      </c>
      <c r="C49" s="35">
        <v>1001869</v>
      </c>
      <c r="D49" s="11" t="s">
        <v>274</v>
      </c>
      <c r="E49" s="10"/>
      <c r="F49" s="12" t="s">
        <v>5</v>
      </c>
      <c r="G49" s="13" t="s">
        <v>296</v>
      </c>
      <c r="H49" s="10"/>
      <c r="I49" s="25"/>
      <c r="J49" s="10"/>
      <c r="K49" s="10"/>
      <c r="L49" s="10"/>
      <c r="M49" s="10"/>
      <c r="N49" s="10"/>
      <c r="O49" s="10"/>
      <c r="P49" s="15">
        <f t="shared" si="6"/>
        <v>0</v>
      </c>
      <c r="Q49" s="16">
        <v>589</v>
      </c>
      <c r="R49" s="47"/>
      <c r="S49" s="17">
        <v>192</v>
      </c>
      <c r="T49" s="18">
        <v>155</v>
      </c>
      <c r="U49" s="18">
        <v>242</v>
      </c>
      <c r="V49" s="18">
        <v>17512</v>
      </c>
      <c r="W49" s="50">
        <f t="shared" si="1"/>
        <v>0.98915499322187073</v>
      </c>
      <c r="X49" s="49">
        <f t="shared" si="2"/>
        <v>0.25835323646870545</v>
      </c>
      <c r="Y49" s="17">
        <v>11401</v>
      </c>
      <c r="Z49" s="17">
        <v>7288</v>
      </c>
      <c r="AA49" s="62">
        <f t="shared" si="3"/>
        <v>18689</v>
      </c>
      <c r="AB49" s="63" t="str">
        <f t="shared" si="4"/>
        <v/>
      </c>
      <c r="AC49" s="64">
        <f t="shared" si="5"/>
        <v>19000</v>
      </c>
    </row>
    <row r="50" spans="1:29" x14ac:dyDescent="0.35">
      <c r="A50" s="10" t="s">
        <v>213</v>
      </c>
      <c r="B50" s="34">
        <v>10643</v>
      </c>
      <c r="C50" s="35">
        <v>1004216</v>
      </c>
      <c r="D50" s="11" t="s">
        <v>228</v>
      </c>
      <c r="E50" s="10" t="s">
        <v>135</v>
      </c>
      <c r="F50" s="12" t="s">
        <v>5</v>
      </c>
      <c r="G50" s="13" t="s">
        <v>280</v>
      </c>
      <c r="H50" s="10" t="s">
        <v>136</v>
      </c>
      <c r="I50" s="25">
        <v>3</v>
      </c>
      <c r="J50" s="10">
        <v>2277</v>
      </c>
      <c r="K50" s="10" t="s">
        <v>311</v>
      </c>
      <c r="L50" s="10"/>
      <c r="M50" s="10">
        <v>66</v>
      </c>
      <c r="N50" s="10" t="s">
        <v>48</v>
      </c>
      <c r="O50" s="10" t="s">
        <v>48</v>
      </c>
      <c r="P50" s="15">
        <f t="shared" si="6"/>
        <v>261800</v>
      </c>
      <c r="Q50" s="16">
        <v>355735</v>
      </c>
      <c r="R50" s="47"/>
      <c r="S50" s="17">
        <v>336783</v>
      </c>
      <c r="T50" s="18">
        <v>7389</v>
      </c>
      <c r="U50" s="18">
        <v>11563</v>
      </c>
      <c r="V50" s="18">
        <v>537978</v>
      </c>
      <c r="W50" s="50">
        <f t="shared" si="1"/>
        <v>0.61499998285245916</v>
      </c>
      <c r="X50" s="49">
        <f t="shared" si="2"/>
        <v>0.24208087027543504</v>
      </c>
      <c r="Y50" s="17">
        <v>601155</v>
      </c>
      <c r="Z50" s="17">
        <v>384347</v>
      </c>
      <c r="AA50" s="62">
        <f t="shared" si="3"/>
        <v>985502</v>
      </c>
      <c r="AB50" s="63" t="str">
        <f t="shared" si="4"/>
        <v/>
      </c>
      <c r="AC50" s="64">
        <f t="shared" si="5"/>
        <v>924000</v>
      </c>
    </row>
    <row r="51" spans="1:29" x14ac:dyDescent="0.35">
      <c r="A51" s="10" t="s">
        <v>216</v>
      </c>
      <c r="B51" s="34">
        <v>50960</v>
      </c>
      <c r="C51" s="35">
        <v>1002269</v>
      </c>
      <c r="D51" s="11" t="s">
        <v>240</v>
      </c>
      <c r="E51" s="10" t="s">
        <v>155</v>
      </c>
      <c r="F51" s="12" t="s">
        <v>5</v>
      </c>
      <c r="G51" s="13" t="s">
        <v>283</v>
      </c>
      <c r="H51" s="10" t="s">
        <v>156</v>
      </c>
      <c r="I51" s="25">
        <v>3</v>
      </c>
      <c r="J51" s="10">
        <v>1440</v>
      </c>
      <c r="K51" s="10" t="s">
        <v>311</v>
      </c>
      <c r="L51" s="10"/>
      <c r="M51" s="10">
        <v>42.1</v>
      </c>
      <c r="N51" s="10" t="s">
        <v>413</v>
      </c>
      <c r="O51" s="10" t="s">
        <v>414</v>
      </c>
      <c r="P51" s="15">
        <f t="shared" si="6"/>
        <v>165600</v>
      </c>
      <c r="Q51" s="16">
        <v>207607</v>
      </c>
      <c r="R51" s="47"/>
      <c r="S51" s="17">
        <v>196261</v>
      </c>
      <c r="T51" s="17">
        <v>4424</v>
      </c>
      <c r="U51" s="17">
        <v>6921</v>
      </c>
      <c r="V51" s="17">
        <v>307146</v>
      </c>
      <c r="W51" s="50">
        <f t="shared" si="1"/>
        <v>0.61013454322248206</v>
      </c>
      <c r="X51" s="49">
        <f t="shared" si="2"/>
        <v>0.25394968496350218</v>
      </c>
      <c r="Y51" s="17">
        <v>329783</v>
      </c>
      <c r="Z51" s="17">
        <v>210847</v>
      </c>
      <c r="AA51" s="62">
        <f t="shared" si="3"/>
        <v>540630</v>
      </c>
      <c r="AB51" s="63" t="str">
        <f t="shared" si="4"/>
        <v/>
      </c>
      <c r="AC51" s="64">
        <f t="shared" si="5"/>
        <v>553000</v>
      </c>
    </row>
    <row r="52" spans="1:29" ht="26" x14ac:dyDescent="0.35">
      <c r="A52" s="10" t="s">
        <v>220</v>
      </c>
      <c r="B52" s="35">
        <v>50885</v>
      </c>
      <c r="C52" s="35">
        <v>1004279</v>
      </c>
      <c r="E52" s="10" t="s">
        <v>189</v>
      </c>
      <c r="F52" s="12" t="s">
        <v>5</v>
      </c>
      <c r="G52" s="13" t="s">
        <v>292</v>
      </c>
      <c r="H52" s="10" t="s">
        <v>190</v>
      </c>
      <c r="I52" s="25">
        <v>2</v>
      </c>
      <c r="J52" s="10">
        <v>500</v>
      </c>
      <c r="K52" s="10" t="s">
        <v>311</v>
      </c>
      <c r="L52" s="10"/>
      <c r="M52" s="10">
        <v>14</v>
      </c>
      <c r="N52" s="10" t="s">
        <v>220</v>
      </c>
      <c r="O52" s="10" t="s">
        <v>220</v>
      </c>
      <c r="P52" s="15">
        <f t="shared" si="6"/>
        <v>57500</v>
      </c>
      <c r="Q52" s="16">
        <v>61677</v>
      </c>
      <c r="R52" s="47"/>
      <c r="S52" s="17">
        <v>58305</v>
      </c>
      <c r="T52" s="17">
        <v>1315</v>
      </c>
      <c r="U52" s="17">
        <v>2057</v>
      </c>
      <c r="V52" s="17">
        <v>91298</v>
      </c>
      <c r="W52" s="50">
        <f t="shared" si="1"/>
        <v>0.61026851065820875</v>
      </c>
      <c r="X52" s="49">
        <f t="shared" si="2"/>
        <v>0.22231628315234994</v>
      </c>
      <c r="Y52" s="17">
        <v>111950</v>
      </c>
      <c r="Z52" s="17">
        <v>71576</v>
      </c>
      <c r="AA52" s="62">
        <f t="shared" si="3"/>
        <v>183526</v>
      </c>
      <c r="AB52" s="63" t="str">
        <f t="shared" si="4"/>
        <v/>
      </c>
      <c r="AC52" s="64">
        <f t="shared" si="5"/>
        <v>164000</v>
      </c>
    </row>
    <row r="53" spans="1:29" ht="26" x14ac:dyDescent="0.35">
      <c r="A53" s="10" t="s">
        <v>415</v>
      </c>
      <c r="B53" s="34">
        <v>50649</v>
      </c>
      <c r="C53" s="35">
        <v>1005870</v>
      </c>
      <c r="D53" s="11" t="s">
        <v>257</v>
      </c>
      <c r="E53" s="10" t="s">
        <v>181</v>
      </c>
      <c r="F53" s="12" t="s">
        <v>2</v>
      </c>
      <c r="G53" s="13">
        <v>11704</v>
      </c>
      <c r="H53" s="10" t="s">
        <v>173</v>
      </c>
      <c r="I53" s="25">
        <v>2</v>
      </c>
      <c r="J53" s="10">
        <v>750</v>
      </c>
      <c r="K53" s="10" t="s">
        <v>311</v>
      </c>
      <c r="L53" s="10"/>
      <c r="M53" s="10">
        <v>16.8</v>
      </c>
      <c r="N53" s="10" t="s">
        <v>219</v>
      </c>
      <c r="O53" s="10" t="s">
        <v>219</v>
      </c>
      <c r="P53" s="15">
        <f t="shared" si="6"/>
        <v>86200</v>
      </c>
      <c r="Q53" s="16">
        <v>91240</v>
      </c>
      <c r="R53" s="47"/>
      <c r="S53" s="17">
        <v>85973</v>
      </c>
      <c r="T53" s="17">
        <v>2054</v>
      </c>
      <c r="U53" s="17">
        <v>3213</v>
      </c>
      <c r="V53" s="17">
        <v>147218</v>
      </c>
      <c r="W53" s="50">
        <f t="shared" si="1"/>
        <v>0.63131939054251662</v>
      </c>
      <c r="X53" s="49">
        <f t="shared" si="2"/>
        <v>0.25565516356751383</v>
      </c>
      <c r="Y53" s="17">
        <v>151748</v>
      </c>
      <c r="Z53" s="17">
        <v>97015</v>
      </c>
      <c r="AA53" s="62">
        <f t="shared" si="3"/>
        <v>248763</v>
      </c>
      <c r="AB53" s="63" t="str">
        <f t="shared" si="4"/>
        <v/>
      </c>
      <c r="AC53" s="64">
        <f t="shared" si="5"/>
        <v>257000</v>
      </c>
    </row>
    <row r="54" spans="1:29" x14ac:dyDescent="0.35">
      <c r="A54" s="10" t="s">
        <v>51</v>
      </c>
      <c r="B54" s="34">
        <v>10642</v>
      </c>
      <c r="C54" s="35">
        <v>1002398</v>
      </c>
      <c r="D54" s="11" t="s">
        <v>227</v>
      </c>
      <c r="E54" s="10" t="s">
        <v>133</v>
      </c>
      <c r="F54" s="12" t="s">
        <v>2</v>
      </c>
      <c r="G54" s="13">
        <v>11590</v>
      </c>
      <c r="H54" s="10" t="s">
        <v>134</v>
      </c>
      <c r="I54" s="25">
        <v>3</v>
      </c>
      <c r="J54" s="10">
        <v>2505</v>
      </c>
      <c r="K54" s="10" t="s">
        <v>311</v>
      </c>
      <c r="L54" s="10"/>
      <c r="M54" s="10">
        <v>72</v>
      </c>
      <c r="N54" s="10" t="s">
        <v>416</v>
      </c>
      <c r="O54" s="10" t="s">
        <v>416</v>
      </c>
      <c r="P54" s="15">
        <f t="shared" si="6"/>
        <v>288000</v>
      </c>
      <c r="Q54" s="16">
        <v>334354</v>
      </c>
      <c r="R54" s="47"/>
      <c r="S54" s="17">
        <v>313920</v>
      </c>
      <c r="T54" s="18">
        <v>7968</v>
      </c>
      <c r="U54" s="18">
        <v>12467</v>
      </c>
      <c r="V54" s="18">
        <v>558083</v>
      </c>
      <c r="W54" s="50">
        <f t="shared" si="1"/>
        <v>0.64000123852784907</v>
      </c>
      <c r="X54" s="49">
        <f t="shared" si="2"/>
        <v>0.2377338912669264</v>
      </c>
      <c r="Y54" s="17">
        <v>610217</v>
      </c>
      <c r="Z54" s="17">
        <v>390141</v>
      </c>
      <c r="AA54" s="62">
        <f t="shared" si="3"/>
        <v>1000358</v>
      </c>
      <c r="AB54" s="63" t="str">
        <f t="shared" si="4"/>
        <v/>
      </c>
      <c r="AC54" s="64">
        <f t="shared" si="5"/>
        <v>996000</v>
      </c>
    </row>
    <row r="55" spans="1:29" ht="26" x14ac:dyDescent="0.35">
      <c r="A55" s="10" t="s">
        <v>417</v>
      </c>
      <c r="B55" s="35">
        <v>10305</v>
      </c>
      <c r="C55" s="35">
        <v>1003110</v>
      </c>
      <c r="D55" s="11" t="s">
        <v>269</v>
      </c>
      <c r="E55" s="10" t="s">
        <v>200</v>
      </c>
      <c r="F55" s="12" t="s">
        <v>2</v>
      </c>
      <c r="G55" s="13">
        <v>12601</v>
      </c>
      <c r="H55" s="10" t="s">
        <v>201</v>
      </c>
      <c r="I55" s="25">
        <v>2</v>
      </c>
      <c r="J55" s="10">
        <v>450</v>
      </c>
      <c r="K55" s="10" t="s">
        <v>311</v>
      </c>
      <c r="L55" s="10"/>
      <c r="M55" s="10">
        <v>9.8000000000000007</v>
      </c>
      <c r="N55" s="10" t="s">
        <v>418</v>
      </c>
      <c r="O55" s="10" t="s">
        <v>419</v>
      </c>
      <c r="P55" s="15">
        <f t="shared" si="6"/>
        <v>51700</v>
      </c>
      <c r="Q55" s="16">
        <v>43362</v>
      </c>
      <c r="R55" s="47"/>
      <c r="S55" s="17">
        <v>41150</v>
      </c>
      <c r="T55" s="18">
        <v>862</v>
      </c>
      <c r="U55" s="18">
        <v>1349</v>
      </c>
      <c r="V55" s="18">
        <v>57404</v>
      </c>
      <c r="W55" s="50">
        <f t="shared" si="1"/>
        <v>0.58246240639649327</v>
      </c>
      <c r="X55" s="49">
        <f t="shared" si="2"/>
        <v>0.17797294246888684</v>
      </c>
      <c r="Y55" s="17">
        <v>92125</v>
      </c>
      <c r="Z55" s="17">
        <v>58900</v>
      </c>
      <c r="AA55" s="62">
        <f t="shared" si="3"/>
        <v>151025</v>
      </c>
      <c r="AB55" s="63" t="str">
        <f t="shared" si="4"/>
        <v/>
      </c>
      <c r="AC55" s="64">
        <f t="shared" si="5"/>
        <v>108000</v>
      </c>
    </row>
    <row r="56" spans="1:29" ht="26" x14ac:dyDescent="0.35">
      <c r="A56" s="10" t="s">
        <v>70</v>
      </c>
      <c r="B56" s="34">
        <v>50656</v>
      </c>
      <c r="C56" s="35">
        <v>1002400</v>
      </c>
      <c r="D56" s="11" t="s">
        <v>252</v>
      </c>
      <c r="E56" s="10" t="s">
        <v>172</v>
      </c>
      <c r="F56" s="12" t="s">
        <v>2</v>
      </c>
      <c r="G56" s="13">
        <v>11731</v>
      </c>
      <c r="H56" s="10" t="s">
        <v>173</v>
      </c>
      <c r="I56" s="25">
        <v>3</v>
      </c>
      <c r="J56" s="10">
        <v>750</v>
      </c>
      <c r="K56" s="10" t="s">
        <v>311</v>
      </c>
      <c r="L56" s="10"/>
      <c r="M56" s="10">
        <v>24.3</v>
      </c>
      <c r="N56" s="10" t="s">
        <v>420</v>
      </c>
      <c r="O56" s="10" t="s">
        <v>420</v>
      </c>
      <c r="P56" s="15">
        <f t="shared" si="6"/>
        <v>86200</v>
      </c>
      <c r="Q56" s="16">
        <v>120667</v>
      </c>
      <c r="R56" s="47"/>
      <c r="S56" s="17">
        <v>113564</v>
      </c>
      <c r="T56" s="18">
        <v>2770</v>
      </c>
      <c r="U56" s="18">
        <v>4333</v>
      </c>
      <c r="V56" s="18">
        <v>200905</v>
      </c>
      <c r="W56" s="50">
        <f t="shared" si="1"/>
        <v>0.63887060409770124</v>
      </c>
      <c r="X56" s="49">
        <f t="shared" si="2"/>
        <v>0.2472925545676567</v>
      </c>
      <c r="Y56" s="17">
        <v>211557</v>
      </c>
      <c r="Z56" s="17">
        <v>135256</v>
      </c>
      <c r="AA56" s="62">
        <f t="shared" si="3"/>
        <v>346813</v>
      </c>
      <c r="AB56" s="63" t="str">
        <f t="shared" si="4"/>
        <v/>
      </c>
      <c r="AC56" s="64">
        <f t="shared" si="5"/>
        <v>346000</v>
      </c>
    </row>
    <row r="57" spans="1:29" ht="26" x14ac:dyDescent="0.35">
      <c r="A57" s="10" t="s">
        <v>421</v>
      </c>
      <c r="B57" s="34">
        <v>51038</v>
      </c>
      <c r="C57" s="35">
        <v>1002277</v>
      </c>
      <c r="D57" s="11" t="s">
        <v>265</v>
      </c>
      <c r="E57" s="10" t="s">
        <v>193</v>
      </c>
      <c r="F57" s="12" t="s">
        <v>2</v>
      </c>
      <c r="G57" s="13">
        <v>11779</v>
      </c>
      <c r="H57" s="10" t="s">
        <v>173</v>
      </c>
      <c r="I57" s="25">
        <v>2</v>
      </c>
      <c r="J57" s="10">
        <v>486</v>
      </c>
      <c r="K57" s="10" t="s">
        <v>311</v>
      </c>
      <c r="L57" s="10"/>
      <c r="M57" s="10">
        <v>12</v>
      </c>
      <c r="N57" s="10" t="s">
        <v>422</v>
      </c>
      <c r="O57" s="10" t="s">
        <v>423</v>
      </c>
      <c r="P57" s="15">
        <f t="shared" si="6"/>
        <v>55900</v>
      </c>
      <c r="Q57" s="16">
        <v>47688</v>
      </c>
      <c r="R57" s="47"/>
      <c r="S57" s="17">
        <v>45056</v>
      </c>
      <c r="T57" s="18">
        <v>1026</v>
      </c>
      <c r="U57" s="18">
        <v>1605</v>
      </c>
      <c r="V57" s="18">
        <v>72956</v>
      </c>
      <c r="W57" s="50">
        <f t="shared" si="1"/>
        <v>0.61820831779818997</v>
      </c>
      <c r="X57" s="49">
        <f t="shared" si="2"/>
        <v>0.19127848017146318</v>
      </c>
      <c r="Y57" s="17">
        <v>102641</v>
      </c>
      <c r="Z57" s="17">
        <v>65622</v>
      </c>
      <c r="AA57" s="62">
        <f t="shared" si="3"/>
        <v>168263</v>
      </c>
      <c r="AB57" s="63" t="str">
        <f t="shared" si="4"/>
        <v/>
      </c>
      <c r="AC57" s="64">
        <f t="shared" si="5"/>
        <v>128000</v>
      </c>
    </row>
    <row r="58" spans="1:29" x14ac:dyDescent="0.35">
      <c r="A58" s="10" t="s">
        <v>424</v>
      </c>
      <c r="B58" s="34">
        <v>50472</v>
      </c>
      <c r="C58" s="35">
        <v>1001245</v>
      </c>
      <c r="E58" s="10" t="s">
        <v>425</v>
      </c>
      <c r="F58" s="12" t="s">
        <v>2</v>
      </c>
      <c r="G58" s="13">
        <v>14304</v>
      </c>
      <c r="H58" s="10" t="s">
        <v>426</v>
      </c>
      <c r="I58" s="25">
        <v>2</v>
      </c>
      <c r="J58" s="10">
        <v>2250</v>
      </c>
      <c r="K58" s="10" t="s">
        <v>311</v>
      </c>
      <c r="L58" s="10">
        <v>470000</v>
      </c>
      <c r="M58" s="10">
        <v>32</v>
      </c>
      <c r="N58" s="10" t="s">
        <v>427</v>
      </c>
      <c r="O58" s="10" t="s">
        <v>427</v>
      </c>
      <c r="P58" s="15">
        <f t="shared" si="6"/>
        <v>258700</v>
      </c>
      <c r="Q58" s="16">
        <v>337753</v>
      </c>
      <c r="R58" s="47"/>
      <c r="S58" s="17">
        <v>321181</v>
      </c>
      <c r="T58" s="17">
        <v>6470</v>
      </c>
      <c r="U58" s="17">
        <v>10102</v>
      </c>
      <c r="V58" s="17">
        <v>356829</v>
      </c>
      <c r="W58" s="50">
        <f t="shared" si="1"/>
        <v>0.52628869780681697</v>
      </c>
      <c r="X58" s="49">
        <f t="shared" si="2"/>
        <v>0.22548406857718548</v>
      </c>
      <c r="Y58" s="17">
        <v>500240</v>
      </c>
      <c r="Z58" s="17">
        <v>319826</v>
      </c>
      <c r="AA58" s="62">
        <f t="shared" si="3"/>
        <v>820066</v>
      </c>
      <c r="AB58" s="63" t="str">
        <f t="shared" si="4"/>
        <v/>
      </c>
      <c r="AC58" s="64">
        <f t="shared" si="5"/>
        <v>809000</v>
      </c>
    </row>
    <row r="59" spans="1:29" x14ac:dyDescent="0.35">
      <c r="A59" s="10" t="s">
        <v>428</v>
      </c>
      <c r="B59" s="34">
        <v>50662</v>
      </c>
      <c r="C59" s="35">
        <v>1006772</v>
      </c>
      <c r="D59" s="11" t="s">
        <v>250</v>
      </c>
      <c r="E59" s="10" t="s">
        <v>169</v>
      </c>
      <c r="F59" s="12" t="s">
        <v>2</v>
      </c>
      <c r="G59" s="13">
        <v>13078</v>
      </c>
      <c r="H59" s="10" t="s">
        <v>170</v>
      </c>
      <c r="I59" s="25">
        <v>3</v>
      </c>
      <c r="J59" s="10">
        <v>990</v>
      </c>
      <c r="K59" s="10" t="s">
        <v>311</v>
      </c>
      <c r="L59" s="10"/>
      <c r="M59" s="10">
        <v>39.200000000000003</v>
      </c>
      <c r="N59" s="10" t="s">
        <v>429</v>
      </c>
      <c r="O59" s="10" t="s">
        <v>429</v>
      </c>
      <c r="P59" s="15">
        <f t="shared" si="6"/>
        <v>113800</v>
      </c>
      <c r="Q59" s="16">
        <v>164039</v>
      </c>
      <c r="R59" s="47"/>
      <c r="S59" s="17">
        <v>156173</v>
      </c>
      <c r="T59" s="17">
        <v>3068</v>
      </c>
      <c r="U59" s="17">
        <v>4799</v>
      </c>
      <c r="V59" s="17">
        <v>192567</v>
      </c>
      <c r="W59" s="50">
        <f t="shared" si="1"/>
        <v>0.55217927395767619</v>
      </c>
      <c r="X59" s="49">
        <f t="shared" si="2"/>
        <v>0.2622772459660791</v>
      </c>
      <c r="Y59" s="17">
        <v>221208</v>
      </c>
      <c r="Z59" s="17">
        <v>141427</v>
      </c>
      <c r="AA59" s="62">
        <f t="shared" si="3"/>
        <v>362635</v>
      </c>
      <c r="AB59" s="63" t="str">
        <f t="shared" si="4"/>
        <v/>
      </c>
      <c r="AC59" s="64">
        <f t="shared" si="5"/>
        <v>384000</v>
      </c>
    </row>
    <row r="60" spans="1:29" x14ac:dyDescent="0.35">
      <c r="A60" s="10" t="s">
        <v>430</v>
      </c>
      <c r="B60" s="35">
        <v>50907</v>
      </c>
      <c r="C60" s="35">
        <v>1006910</v>
      </c>
      <c r="D60" s="11" t="s">
        <v>273</v>
      </c>
      <c r="E60" s="10" t="s">
        <v>30</v>
      </c>
      <c r="F60" s="12" t="s">
        <v>2</v>
      </c>
      <c r="G60" s="13">
        <v>13069</v>
      </c>
      <c r="H60" s="10" t="s">
        <v>206</v>
      </c>
      <c r="I60" s="25">
        <v>2</v>
      </c>
      <c r="J60" s="10">
        <v>200</v>
      </c>
      <c r="K60" s="10" t="s">
        <v>369</v>
      </c>
      <c r="L60" s="10">
        <v>60000</v>
      </c>
      <c r="M60" s="10">
        <v>4</v>
      </c>
      <c r="N60" s="10" t="s">
        <v>431</v>
      </c>
      <c r="O60" s="10" t="s">
        <v>431</v>
      </c>
      <c r="P60" s="15">
        <f t="shared" si="6"/>
        <v>23000</v>
      </c>
      <c r="Q60" s="16">
        <v>26657</v>
      </c>
      <c r="R60" s="47"/>
      <c r="S60" s="17">
        <v>25330</v>
      </c>
      <c r="T60" s="17">
        <v>518</v>
      </c>
      <c r="U60" s="17">
        <v>810</v>
      </c>
      <c r="V60" s="17">
        <v>33440</v>
      </c>
      <c r="W60" s="50">
        <f t="shared" si="1"/>
        <v>0.56899778798706824</v>
      </c>
      <c r="X60" s="49">
        <f t="shared" si="2"/>
        <v>0.29780535140896336</v>
      </c>
      <c r="Y60" s="17">
        <v>32831</v>
      </c>
      <c r="Z60" s="17">
        <v>20990</v>
      </c>
      <c r="AA60" s="62">
        <f t="shared" si="3"/>
        <v>53821</v>
      </c>
      <c r="AB60" s="63" t="str">
        <f t="shared" si="4"/>
        <v/>
      </c>
      <c r="AC60" s="64">
        <f t="shared" si="5"/>
        <v>65000</v>
      </c>
    </row>
    <row r="61" spans="1:29" x14ac:dyDescent="0.35">
      <c r="A61" s="10" t="s">
        <v>432</v>
      </c>
      <c r="B61" s="35">
        <v>10503</v>
      </c>
      <c r="C61" s="35">
        <v>1004968</v>
      </c>
      <c r="D61" s="11" t="s">
        <v>268</v>
      </c>
      <c r="E61" s="10" t="s">
        <v>198</v>
      </c>
      <c r="F61" s="12" t="s">
        <v>2</v>
      </c>
      <c r="G61" s="13">
        <v>12839</v>
      </c>
      <c r="H61" s="10" t="s">
        <v>199</v>
      </c>
      <c r="I61" s="25">
        <v>2</v>
      </c>
      <c r="J61" s="10">
        <v>500</v>
      </c>
      <c r="K61" s="10" t="s">
        <v>311</v>
      </c>
      <c r="L61" s="10"/>
      <c r="M61" s="10">
        <v>15</v>
      </c>
      <c r="N61" s="12" t="s">
        <v>432</v>
      </c>
      <c r="O61" s="10" t="s">
        <v>432</v>
      </c>
      <c r="P61" s="15">
        <f t="shared" si="6"/>
        <v>57500</v>
      </c>
      <c r="Q61" s="16">
        <v>65699</v>
      </c>
      <c r="R61" s="47"/>
      <c r="S61" s="17">
        <v>62609</v>
      </c>
      <c r="T61" s="17">
        <v>1205</v>
      </c>
      <c r="U61" s="17">
        <v>1885</v>
      </c>
      <c r="V61" s="17">
        <v>76784</v>
      </c>
      <c r="W61" s="50">
        <f t="shared" si="1"/>
        <v>0.5508454513497808</v>
      </c>
      <c r="X61" s="49">
        <f t="shared" si="2"/>
        <v>0.24974066157724345</v>
      </c>
      <c r="Y61" s="17">
        <v>92858</v>
      </c>
      <c r="Z61" s="17">
        <v>59365</v>
      </c>
      <c r="AA61" s="62">
        <f t="shared" si="3"/>
        <v>152223</v>
      </c>
      <c r="AB61" s="63" t="str">
        <f t="shared" si="4"/>
        <v/>
      </c>
      <c r="AC61" s="64">
        <f t="shared" si="5"/>
        <v>151000</v>
      </c>
    </row>
    <row r="62" spans="1:29" x14ac:dyDescent="0.35">
      <c r="A62" s="10" t="s">
        <v>433</v>
      </c>
      <c r="B62" s="35">
        <v>50882</v>
      </c>
      <c r="C62" s="35">
        <v>1004244</v>
      </c>
      <c r="D62" s="11" t="s">
        <v>234</v>
      </c>
      <c r="E62" s="10" t="s">
        <v>145</v>
      </c>
      <c r="F62" s="12" t="s">
        <v>2</v>
      </c>
      <c r="G62" s="13">
        <v>10566</v>
      </c>
      <c r="H62" s="10" t="s">
        <v>146</v>
      </c>
      <c r="I62" s="25">
        <v>3</v>
      </c>
      <c r="J62" s="10">
        <v>2250</v>
      </c>
      <c r="K62" s="10" t="s">
        <v>311</v>
      </c>
      <c r="L62" s="10">
        <v>18000</v>
      </c>
      <c r="M62" s="10">
        <v>60</v>
      </c>
      <c r="N62" s="10" t="s">
        <v>433</v>
      </c>
      <c r="O62" s="10" t="s">
        <v>433</v>
      </c>
      <c r="P62" s="15">
        <f t="shared" si="6"/>
        <v>258700</v>
      </c>
      <c r="Q62" s="16">
        <v>259428</v>
      </c>
      <c r="R62" s="47"/>
      <c r="S62" s="17">
        <v>244751</v>
      </c>
      <c r="T62" s="17">
        <v>5723</v>
      </c>
      <c r="U62" s="17">
        <v>8954</v>
      </c>
      <c r="V62" s="17">
        <v>416739</v>
      </c>
      <c r="W62" s="50">
        <f t="shared" si="1"/>
        <v>0.63000045352159517</v>
      </c>
      <c r="X62" s="49">
        <f t="shared" si="2"/>
        <v>0.26860374697401695</v>
      </c>
      <c r="Y62" s="17">
        <v>409702</v>
      </c>
      <c r="Z62" s="17">
        <v>261943</v>
      </c>
      <c r="AA62" s="62">
        <f t="shared" si="3"/>
        <v>671645</v>
      </c>
      <c r="AB62" s="63" t="str">
        <f t="shared" si="4"/>
        <v/>
      </c>
      <c r="AC62" s="64">
        <f t="shared" si="5"/>
        <v>715000</v>
      </c>
    </row>
    <row r="63" spans="1:29" ht="26" x14ac:dyDescent="0.35">
      <c r="A63" s="10" t="s">
        <v>434</v>
      </c>
      <c r="B63" s="34">
        <v>50660</v>
      </c>
      <c r="C63" s="35">
        <v>1004963</v>
      </c>
      <c r="D63" s="11" t="s">
        <v>20</v>
      </c>
      <c r="E63" s="10" t="s">
        <v>16</v>
      </c>
      <c r="F63" s="12" t="s">
        <v>17</v>
      </c>
      <c r="G63" s="13">
        <v>74107</v>
      </c>
      <c r="H63" s="10" t="s">
        <v>16</v>
      </c>
      <c r="I63" s="25">
        <v>3</v>
      </c>
      <c r="J63" s="10">
        <v>1125</v>
      </c>
      <c r="K63" s="10" t="s">
        <v>311</v>
      </c>
      <c r="L63" s="10">
        <v>80000</v>
      </c>
      <c r="M63" s="10">
        <v>16.8</v>
      </c>
      <c r="N63" s="10" t="s">
        <v>435</v>
      </c>
      <c r="O63" s="10" t="s">
        <v>435</v>
      </c>
      <c r="P63" s="15">
        <f t="shared" si="6"/>
        <v>129300</v>
      </c>
      <c r="Q63" s="16">
        <v>161189</v>
      </c>
      <c r="R63" s="47"/>
      <c r="S63" s="17">
        <v>154652</v>
      </c>
      <c r="T63" s="18">
        <v>2549</v>
      </c>
      <c r="U63" s="18">
        <v>3988</v>
      </c>
      <c r="V63" s="18">
        <v>137285</v>
      </c>
      <c r="W63" s="50">
        <f t="shared" si="1"/>
        <v>0.4702555688384823</v>
      </c>
      <c r="X63" s="49">
        <f t="shared" si="2"/>
        <v>0.24604881414557825</v>
      </c>
      <c r="Y63" s="17">
        <v>197390</v>
      </c>
      <c r="Z63" s="17">
        <v>126201</v>
      </c>
      <c r="AA63" s="62">
        <f t="shared" si="3"/>
        <v>323591</v>
      </c>
      <c r="AB63" s="63" t="str">
        <f t="shared" si="4"/>
        <v/>
      </c>
      <c r="AC63" s="64">
        <f t="shared" si="5"/>
        <v>319000</v>
      </c>
    </row>
    <row r="64" spans="1:29" x14ac:dyDescent="0.35">
      <c r="A64" s="10" t="s">
        <v>436</v>
      </c>
      <c r="B64" s="34">
        <v>50630</v>
      </c>
      <c r="C64" s="35">
        <v>1001646</v>
      </c>
      <c r="D64" s="11" t="s">
        <v>261</v>
      </c>
      <c r="E64" s="10" t="s">
        <v>185</v>
      </c>
      <c r="F64" s="12" t="s">
        <v>14</v>
      </c>
      <c r="G64" s="13">
        <v>97305</v>
      </c>
      <c r="H64" s="10" t="s">
        <v>143</v>
      </c>
      <c r="I64" s="25">
        <v>2</v>
      </c>
      <c r="J64" s="10">
        <v>550</v>
      </c>
      <c r="K64" s="10" t="s">
        <v>311</v>
      </c>
      <c r="L64" s="10"/>
      <c r="M64" s="10">
        <v>13.1</v>
      </c>
      <c r="N64" s="10" t="s">
        <v>437</v>
      </c>
      <c r="O64" s="10" t="s">
        <v>437</v>
      </c>
      <c r="P64" s="15">
        <f t="shared" si="6"/>
        <v>63200</v>
      </c>
      <c r="Q64" s="16">
        <v>84581</v>
      </c>
      <c r="R64" s="47"/>
      <c r="S64" s="17">
        <v>80919</v>
      </c>
      <c r="T64" s="18">
        <v>1428</v>
      </c>
      <c r="U64" s="18">
        <v>2234</v>
      </c>
      <c r="V64" s="18">
        <v>81603</v>
      </c>
      <c r="W64" s="50">
        <f t="shared" si="1"/>
        <v>0.50210433049064129</v>
      </c>
      <c r="X64" s="49">
        <f t="shared" si="2"/>
        <v>0.23684912348540307</v>
      </c>
      <c r="Y64" s="17">
        <v>114155</v>
      </c>
      <c r="Z64" s="17">
        <v>72986</v>
      </c>
      <c r="AA64" s="62">
        <f t="shared" si="3"/>
        <v>187141</v>
      </c>
      <c r="AB64" s="63" t="str">
        <f t="shared" si="4"/>
        <v/>
      </c>
      <c r="AC64" s="64">
        <f t="shared" si="5"/>
        <v>179000</v>
      </c>
    </row>
    <row r="65" spans="1:29" ht="26" x14ac:dyDescent="0.35">
      <c r="A65" s="10" t="s">
        <v>57</v>
      </c>
      <c r="B65" s="34">
        <v>54625</v>
      </c>
      <c r="C65" s="35">
        <v>1007884</v>
      </c>
      <c r="D65" s="11" t="s">
        <v>246</v>
      </c>
      <c r="E65" s="10" t="s">
        <v>165</v>
      </c>
      <c r="F65" s="12" t="s">
        <v>6</v>
      </c>
      <c r="G65" s="13">
        <v>19428</v>
      </c>
      <c r="H65" s="10" t="s">
        <v>153</v>
      </c>
      <c r="I65" s="25">
        <v>2</v>
      </c>
      <c r="J65" s="10">
        <v>1216</v>
      </c>
      <c r="K65" s="10" t="s">
        <v>311</v>
      </c>
      <c r="L65" s="10"/>
      <c r="M65" s="10">
        <v>32</v>
      </c>
      <c r="N65" s="10" t="s">
        <v>438</v>
      </c>
      <c r="O65" s="10" t="s">
        <v>438</v>
      </c>
      <c r="P65" s="15">
        <f t="shared" si="6"/>
        <v>139800</v>
      </c>
      <c r="Q65" s="16">
        <v>171651</v>
      </c>
      <c r="R65" s="47"/>
      <c r="S65" s="17">
        <v>163878</v>
      </c>
      <c r="T65" s="18">
        <v>3030</v>
      </c>
      <c r="U65" s="18">
        <v>4744</v>
      </c>
      <c r="V65" s="18">
        <v>261338</v>
      </c>
      <c r="W65" s="50">
        <f t="shared" si="1"/>
        <v>0.61460057947019864</v>
      </c>
      <c r="X65" s="49">
        <f t="shared" si="2"/>
        <v>0.29485738694438368</v>
      </c>
      <c r="Y65" s="17">
        <v>239914</v>
      </c>
      <c r="Z65" s="17">
        <v>153388</v>
      </c>
      <c r="AA65" s="62">
        <f t="shared" si="3"/>
        <v>393302</v>
      </c>
      <c r="AB65" s="63" t="str">
        <f t="shared" si="4"/>
        <v/>
      </c>
      <c r="AC65" s="64">
        <f t="shared" si="5"/>
        <v>379000</v>
      </c>
    </row>
    <row r="66" spans="1:29" x14ac:dyDescent="0.35">
      <c r="A66" s="10" t="s">
        <v>21</v>
      </c>
      <c r="B66" s="34">
        <v>10746</v>
      </c>
      <c r="C66" s="35">
        <v>1006038</v>
      </c>
      <c r="D66" s="11" t="s">
        <v>224</v>
      </c>
      <c r="E66" s="10" t="s">
        <v>127</v>
      </c>
      <c r="F66" s="12" t="s">
        <v>6</v>
      </c>
      <c r="G66" s="13">
        <v>19013</v>
      </c>
      <c r="H66" s="10" t="s">
        <v>128</v>
      </c>
      <c r="I66" s="25">
        <v>6</v>
      </c>
      <c r="J66" s="10">
        <v>3500</v>
      </c>
      <c r="K66" s="10" t="s">
        <v>311</v>
      </c>
      <c r="L66" s="10"/>
      <c r="M66" s="10">
        <v>87</v>
      </c>
      <c r="N66" s="10" t="s">
        <v>439</v>
      </c>
      <c r="O66" s="10" t="s">
        <v>439</v>
      </c>
      <c r="P66" s="15">
        <f t="shared" si="6"/>
        <v>402400</v>
      </c>
      <c r="Q66" s="16">
        <v>368561</v>
      </c>
      <c r="R66" s="47"/>
      <c r="S66" s="17">
        <v>349020</v>
      </c>
      <c r="T66" s="18">
        <v>7620</v>
      </c>
      <c r="U66" s="18">
        <v>11921</v>
      </c>
      <c r="V66" s="18">
        <v>516151</v>
      </c>
      <c r="W66" s="50">
        <f t="shared" si="1"/>
        <v>0.59658842009267532</v>
      </c>
      <c r="X66" s="49">
        <f t="shared" si="2"/>
        <v>0.19492515227066576</v>
      </c>
      <c r="Y66" s="17">
        <v>738396</v>
      </c>
      <c r="Z66" s="17">
        <v>472098</v>
      </c>
      <c r="AA66" s="62">
        <f t="shared" si="3"/>
        <v>1210494</v>
      </c>
      <c r="AB66" s="63" t="str">
        <f t="shared" si="4"/>
        <v/>
      </c>
      <c r="AC66" s="64">
        <f t="shared" si="5"/>
        <v>953000</v>
      </c>
    </row>
    <row r="67" spans="1:29" ht="26" x14ac:dyDescent="0.35">
      <c r="A67" s="10" t="s">
        <v>443</v>
      </c>
      <c r="B67" s="34">
        <v>50859</v>
      </c>
      <c r="C67" s="35">
        <v>1007677</v>
      </c>
      <c r="D67" s="11" t="s">
        <v>26</v>
      </c>
      <c r="E67" s="10" t="s">
        <v>27</v>
      </c>
      <c r="F67" s="12" t="s">
        <v>6</v>
      </c>
      <c r="G67" s="13">
        <v>17502</v>
      </c>
      <c r="H67" s="10" t="s">
        <v>164</v>
      </c>
      <c r="I67" s="25">
        <v>3</v>
      </c>
      <c r="J67" s="10">
        <v>1200</v>
      </c>
      <c r="K67" s="10" t="s">
        <v>311</v>
      </c>
      <c r="L67" s="10"/>
      <c r="M67" s="10">
        <v>33.1</v>
      </c>
      <c r="N67" s="10" t="s">
        <v>441</v>
      </c>
      <c r="O67" s="10" t="s">
        <v>444</v>
      </c>
      <c r="P67" s="15">
        <f t="shared" si="6"/>
        <v>138000</v>
      </c>
      <c r="Q67" s="16">
        <v>156489</v>
      </c>
      <c r="R67" s="47"/>
      <c r="S67" s="17">
        <v>147511</v>
      </c>
      <c r="T67" s="18">
        <v>3500</v>
      </c>
      <c r="U67" s="18">
        <v>5477</v>
      </c>
      <c r="V67" s="18">
        <v>250018</v>
      </c>
      <c r="W67" s="50">
        <f t="shared" si="1"/>
        <v>0.6289302164118844</v>
      </c>
      <c r="X67" s="49">
        <f t="shared" si="2"/>
        <v>0.26702971101768175</v>
      </c>
      <c r="Y67" s="17">
        <v>247666</v>
      </c>
      <c r="Z67" s="17">
        <v>158345</v>
      </c>
      <c r="AA67" s="62">
        <f t="shared" si="3"/>
        <v>406011</v>
      </c>
      <c r="AB67" s="63" t="str">
        <f t="shared" si="4"/>
        <v/>
      </c>
      <c r="AC67" s="64">
        <f t="shared" si="5"/>
        <v>438000</v>
      </c>
    </row>
    <row r="68" spans="1:29" ht="26" x14ac:dyDescent="0.35">
      <c r="A68" s="10" t="s">
        <v>440</v>
      </c>
      <c r="B68" s="34">
        <v>10118</v>
      </c>
      <c r="C68" s="35">
        <v>1002561</v>
      </c>
      <c r="D68" s="11" t="s">
        <v>254</v>
      </c>
      <c r="E68" s="10" t="s">
        <v>175</v>
      </c>
      <c r="F68" s="12" t="s">
        <v>6</v>
      </c>
      <c r="G68" s="13">
        <v>17104</v>
      </c>
      <c r="H68" s="10" t="s">
        <v>176</v>
      </c>
      <c r="I68" s="25">
        <v>3</v>
      </c>
      <c r="J68" s="10">
        <v>800</v>
      </c>
      <c r="K68" s="10" t="s">
        <v>311</v>
      </c>
      <c r="L68" s="10"/>
      <c r="M68" s="10">
        <v>20.8</v>
      </c>
      <c r="N68" s="10" t="s">
        <v>441</v>
      </c>
      <c r="O68" s="10" t="s">
        <v>442</v>
      </c>
      <c r="P68" s="15">
        <f t="shared" ref="P68:P77" si="7">ROUND(J68*365*0.9*0.3*0.35*(44/12)/1.1,-2)</f>
        <v>92000</v>
      </c>
      <c r="Q68" s="16">
        <v>106737</v>
      </c>
      <c r="R68" s="47"/>
      <c r="S68" s="17">
        <v>101172</v>
      </c>
      <c r="T68" s="17">
        <v>2170</v>
      </c>
      <c r="U68" s="17">
        <v>3395</v>
      </c>
      <c r="V68" s="17">
        <v>147563</v>
      </c>
      <c r="W68" s="50">
        <f t="shared" si="1"/>
        <v>0.59325386455464646</v>
      </c>
      <c r="X68" s="49">
        <f t="shared" si="2"/>
        <v>0.2387107403118382</v>
      </c>
      <c r="Y68" s="17">
        <v>173350</v>
      </c>
      <c r="Z68" s="17">
        <v>110830</v>
      </c>
      <c r="AA68" s="62">
        <f t="shared" si="3"/>
        <v>284180</v>
      </c>
      <c r="AB68" s="63" t="str">
        <f t="shared" si="4"/>
        <v/>
      </c>
      <c r="AC68" s="64">
        <f t="shared" si="5"/>
        <v>271000</v>
      </c>
    </row>
    <row r="69" spans="1:29" x14ac:dyDescent="0.35">
      <c r="A69" s="10" t="s">
        <v>445</v>
      </c>
      <c r="B69" s="35">
        <v>54746</v>
      </c>
      <c r="C69" s="35">
        <v>1006282</v>
      </c>
      <c r="D69" s="11" t="s">
        <v>242</v>
      </c>
      <c r="E69" s="10" t="s">
        <v>159</v>
      </c>
      <c r="F69" s="12" t="s">
        <v>6</v>
      </c>
      <c r="G69" s="13">
        <v>19067</v>
      </c>
      <c r="H69" s="10" t="s">
        <v>160</v>
      </c>
      <c r="I69" s="25">
        <v>2</v>
      </c>
      <c r="J69" s="10">
        <v>1500</v>
      </c>
      <c r="K69" s="10" t="s">
        <v>311</v>
      </c>
      <c r="L69" s="10"/>
      <c r="M69" s="10">
        <v>53</v>
      </c>
      <c r="N69" s="10" t="s">
        <v>445</v>
      </c>
      <c r="O69" s="10" t="s">
        <v>445</v>
      </c>
      <c r="P69" s="15">
        <f t="shared" si="7"/>
        <v>172500</v>
      </c>
      <c r="Q69" s="16">
        <v>205237</v>
      </c>
      <c r="R69" s="47"/>
      <c r="S69" s="17">
        <v>196199</v>
      </c>
      <c r="T69" s="17">
        <v>3524</v>
      </c>
      <c r="U69" s="17">
        <v>5513</v>
      </c>
      <c r="V69" s="17">
        <v>285271</v>
      </c>
      <c r="W69" s="50">
        <f t="shared" ref="W69:W78" si="8">V69/(S69+V69)</f>
        <v>0.5925000519243151</v>
      </c>
      <c r="X69" s="49">
        <f t="shared" ref="X69:X77" si="9">(S69+V69)*(12/44)/AA69</f>
        <v>0.27330001810760918</v>
      </c>
      <c r="Y69" s="17">
        <v>293081</v>
      </c>
      <c r="Z69" s="17">
        <v>187380</v>
      </c>
      <c r="AA69" s="62">
        <f t="shared" ref="AA69:AA77" si="10">IF(SUM(Y69:Z69)=0,AC69,SUM(Y69:Z69))</f>
        <v>480461</v>
      </c>
      <c r="AB69" s="63" t="str">
        <f t="shared" ref="AB69:AB77" si="11">IF(Y69+Z69=0,"Y","")</f>
        <v/>
      </c>
      <c r="AC69" s="64">
        <f t="shared" ref="AC69:AC77" si="12">ROUND((T69/25*1000/(3.2*10^-2)/(5000*2000/10^6)),-3)</f>
        <v>441000</v>
      </c>
    </row>
    <row r="70" spans="1:29" ht="26" x14ac:dyDescent="0.35">
      <c r="A70" s="10" t="s">
        <v>446</v>
      </c>
      <c r="B70" s="34">
        <v>50215</v>
      </c>
      <c r="C70" s="35">
        <v>1006647</v>
      </c>
      <c r="D70" s="11" t="s">
        <v>244</v>
      </c>
      <c r="E70" s="10" t="s">
        <v>124</v>
      </c>
      <c r="F70" s="12" t="s">
        <v>6</v>
      </c>
      <c r="G70" s="13">
        <v>17406</v>
      </c>
      <c r="H70" s="10" t="s">
        <v>124</v>
      </c>
      <c r="I70" s="25">
        <v>3</v>
      </c>
      <c r="J70" s="10">
        <v>1344</v>
      </c>
      <c r="K70" s="10" t="s">
        <v>311</v>
      </c>
      <c r="L70" s="10"/>
      <c r="M70" s="10">
        <v>42</v>
      </c>
      <c r="N70" s="10" t="s">
        <v>447</v>
      </c>
      <c r="O70" s="10" t="s">
        <v>448</v>
      </c>
      <c r="P70" s="15">
        <f t="shared" si="7"/>
        <v>154500</v>
      </c>
      <c r="Q70" s="16">
        <v>160955</v>
      </c>
      <c r="R70" s="47"/>
      <c r="S70" s="17">
        <v>152872</v>
      </c>
      <c r="T70" s="17">
        <v>3152</v>
      </c>
      <c r="U70" s="17">
        <v>4931</v>
      </c>
      <c r="V70" s="17">
        <v>206239</v>
      </c>
      <c r="W70" s="50">
        <f t="shared" si="8"/>
        <v>0.5743043237327734</v>
      </c>
      <c r="X70" s="49">
        <f t="shared" si="9"/>
        <v>0.20800323589292591</v>
      </c>
      <c r="Y70" s="17">
        <v>287224</v>
      </c>
      <c r="Z70" s="17">
        <v>183631</v>
      </c>
      <c r="AA70" s="62">
        <f t="shared" si="10"/>
        <v>470855</v>
      </c>
      <c r="AB70" s="63" t="str">
        <f t="shared" si="11"/>
        <v/>
      </c>
      <c r="AC70" s="64">
        <f t="shared" si="12"/>
        <v>394000</v>
      </c>
    </row>
    <row r="71" spans="1:29" ht="26" x14ac:dyDescent="0.35">
      <c r="A71" s="10" t="s">
        <v>449</v>
      </c>
      <c r="B71" s="34">
        <v>50663</v>
      </c>
      <c r="C71" s="35">
        <v>1001813</v>
      </c>
      <c r="D71" s="11" t="s">
        <v>251</v>
      </c>
      <c r="E71" s="10" t="s">
        <v>171</v>
      </c>
      <c r="F71" s="12" t="s">
        <v>1</v>
      </c>
      <c r="G71" s="13">
        <v>22304</v>
      </c>
      <c r="H71" s="10" t="s">
        <v>4</v>
      </c>
      <c r="I71" s="25">
        <v>3</v>
      </c>
      <c r="J71" s="10">
        <v>975</v>
      </c>
      <c r="K71" s="10" t="s">
        <v>311</v>
      </c>
      <c r="L71" s="10"/>
      <c r="M71" s="10">
        <v>22</v>
      </c>
      <c r="N71" s="10" t="s">
        <v>450</v>
      </c>
      <c r="O71" s="10" t="s">
        <v>450</v>
      </c>
      <c r="P71" s="15">
        <f t="shared" si="7"/>
        <v>112100</v>
      </c>
      <c r="Q71" s="16">
        <v>109571</v>
      </c>
      <c r="R71" s="47"/>
      <c r="S71" s="17">
        <v>102996</v>
      </c>
      <c r="T71" s="18">
        <v>2564</v>
      </c>
      <c r="U71" s="18">
        <v>4011</v>
      </c>
      <c r="V71" s="18">
        <v>188036</v>
      </c>
      <c r="W71" s="50">
        <f t="shared" si="8"/>
        <v>0.64610077242365105</v>
      </c>
      <c r="X71" s="49">
        <f t="shared" si="9"/>
        <v>0.22665190432862728</v>
      </c>
      <c r="Y71" s="18">
        <v>213619</v>
      </c>
      <c r="Z71" s="18">
        <v>136576</v>
      </c>
      <c r="AA71" s="62">
        <f t="shared" si="10"/>
        <v>350195</v>
      </c>
      <c r="AB71" s="63" t="str">
        <f t="shared" si="11"/>
        <v/>
      </c>
      <c r="AC71" s="64">
        <f t="shared" si="12"/>
        <v>321000</v>
      </c>
    </row>
    <row r="72" spans="1:29" x14ac:dyDescent="0.35">
      <c r="A72" s="10" t="s">
        <v>451</v>
      </c>
      <c r="B72" s="35" t="s">
        <v>4</v>
      </c>
      <c r="C72" s="35">
        <v>1000564</v>
      </c>
      <c r="D72" s="11" t="s">
        <v>474</v>
      </c>
      <c r="E72" s="10" t="s">
        <v>452</v>
      </c>
      <c r="F72" s="12" t="s">
        <v>1</v>
      </c>
      <c r="G72" s="13" t="s">
        <v>475</v>
      </c>
      <c r="H72" s="10" t="s">
        <v>4</v>
      </c>
      <c r="I72" s="25">
        <v>2</v>
      </c>
      <c r="J72" s="10">
        <v>240</v>
      </c>
      <c r="K72" s="10" t="s">
        <v>311</v>
      </c>
      <c r="L72" s="10">
        <v>66000</v>
      </c>
      <c r="M72" s="14">
        <v>0</v>
      </c>
      <c r="N72" s="10" t="s">
        <v>453</v>
      </c>
      <c r="O72" s="10" t="s">
        <v>454</v>
      </c>
      <c r="P72" s="15">
        <f t="shared" si="7"/>
        <v>27600</v>
      </c>
      <c r="Q72" s="16">
        <v>23685</v>
      </c>
      <c r="R72" s="47"/>
      <c r="S72" s="18">
        <v>22429</v>
      </c>
      <c r="T72" s="18">
        <v>490</v>
      </c>
      <c r="U72" s="18">
        <v>766</v>
      </c>
      <c r="V72" s="18">
        <v>33103</v>
      </c>
      <c r="W72" s="50">
        <f t="shared" si="8"/>
        <v>0.59610674926168694</v>
      </c>
      <c r="X72" s="49">
        <f t="shared" si="9"/>
        <v>0.24828017883755588</v>
      </c>
      <c r="Y72" s="37"/>
      <c r="Z72" s="37"/>
      <c r="AA72" s="62">
        <f t="shared" si="10"/>
        <v>61000</v>
      </c>
      <c r="AB72" s="63" t="str">
        <f t="shared" si="11"/>
        <v>Y</v>
      </c>
      <c r="AC72" s="64">
        <f t="shared" si="12"/>
        <v>61000</v>
      </c>
    </row>
    <row r="73" spans="1:29" x14ac:dyDescent="0.35">
      <c r="A73" s="10" t="s">
        <v>455</v>
      </c>
      <c r="B73" s="34">
        <v>50658</v>
      </c>
      <c r="C73" s="35">
        <v>1006177</v>
      </c>
      <c r="D73" s="11" t="s">
        <v>225</v>
      </c>
      <c r="E73" s="10" t="s">
        <v>129</v>
      </c>
      <c r="F73" s="12" t="s">
        <v>1</v>
      </c>
      <c r="G73" s="13">
        <v>22079</v>
      </c>
      <c r="H73" s="10" t="s">
        <v>130</v>
      </c>
      <c r="I73" s="25">
        <v>4</v>
      </c>
      <c r="J73" s="10">
        <v>3000</v>
      </c>
      <c r="K73" s="10" t="s">
        <v>311</v>
      </c>
      <c r="L73" s="10"/>
      <c r="M73" s="10">
        <v>93</v>
      </c>
      <c r="N73" s="10" t="s">
        <v>456</v>
      </c>
      <c r="O73" s="10" t="s">
        <v>456</v>
      </c>
      <c r="P73" s="15">
        <f t="shared" si="7"/>
        <v>344900</v>
      </c>
      <c r="Q73" s="16">
        <v>451182</v>
      </c>
      <c r="R73" s="47"/>
      <c r="S73" s="17">
        <v>425776</v>
      </c>
      <c r="T73" s="17">
        <v>9907</v>
      </c>
      <c r="U73" s="17">
        <v>15499</v>
      </c>
      <c r="V73" s="17">
        <v>724971</v>
      </c>
      <c r="W73" s="50">
        <f t="shared" si="8"/>
        <v>0.63000033891029039</v>
      </c>
      <c r="X73" s="49">
        <f t="shared" si="9"/>
        <v>0.26540320904817227</v>
      </c>
      <c r="Y73" s="17">
        <v>721331</v>
      </c>
      <c r="Z73" s="17">
        <v>461172</v>
      </c>
      <c r="AA73" s="62">
        <f t="shared" si="10"/>
        <v>1182503</v>
      </c>
      <c r="AB73" s="63" t="str">
        <f t="shared" si="11"/>
        <v/>
      </c>
      <c r="AC73" s="64">
        <f t="shared" si="12"/>
        <v>1238000</v>
      </c>
    </row>
    <row r="74" spans="1:29" x14ac:dyDescent="0.35">
      <c r="A74" s="10" t="s">
        <v>34</v>
      </c>
      <c r="B74" s="35">
        <v>54998</v>
      </c>
      <c r="C74" s="35">
        <v>1004969</v>
      </c>
      <c r="D74" s="11" t="s">
        <v>239</v>
      </c>
      <c r="E74" s="10" t="s">
        <v>154</v>
      </c>
      <c r="F74" s="12" t="s">
        <v>1</v>
      </c>
      <c r="G74" s="13">
        <v>23704</v>
      </c>
      <c r="H74" s="10" t="s">
        <v>4</v>
      </c>
      <c r="I74" s="25">
        <v>4</v>
      </c>
      <c r="J74" s="10">
        <v>2000</v>
      </c>
      <c r="K74" s="10" t="s">
        <v>321</v>
      </c>
      <c r="L74" s="10">
        <v>322000</v>
      </c>
      <c r="M74" s="10">
        <v>60</v>
      </c>
      <c r="N74" s="10" t="s">
        <v>34</v>
      </c>
      <c r="O74" s="10" t="s">
        <v>34</v>
      </c>
      <c r="P74" s="15">
        <f t="shared" si="7"/>
        <v>230000</v>
      </c>
      <c r="Q74" s="16">
        <v>173855</v>
      </c>
      <c r="R74" s="47"/>
      <c r="S74" s="17">
        <v>164225</v>
      </c>
      <c r="T74" s="17">
        <v>3754</v>
      </c>
      <c r="U74" s="17">
        <v>5876</v>
      </c>
      <c r="V74" s="17">
        <v>263737</v>
      </c>
      <c r="W74" s="50">
        <f t="shared" si="8"/>
        <v>0.61626265883419551</v>
      </c>
      <c r="X74" s="49">
        <f t="shared" si="9"/>
        <v>0.19558827024289832</v>
      </c>
      <c r="Y74" s="17">
        <v>364017</v>
      </c>
      <c r="Z74" s="17">
        <v>232731</v>
      </c>
      <c r="AA74" s="62">
        <f t="shared" si="10"/>
        <v>596748</v>
      </c>
      <c r="AB74" s="63" t="str">
        <f t="shared" si="11"/>
        <v/>
      </c>
      <c r="AC74" s="64">
        <f t="shared" si="12"/>
        <v>469000</v>
      </c>
    </row>
    <row r="75" spans="1:29" x14ac:dyDescent="0.35">
      <c r="A75" s="10" t="s">
        <v>457</v>
      </c>
      <c r="B75" s="35">
        <v>50886</v>
      </c>
      <c r="C75" s="35">
        <v>1004053</v>
      </c>
      <c r="D75" s="11" t="s">
        <v>258</v>
      </c>
      <c r="E75" s="10" t="s">
        <v>182</v>
      </c>
      <c r="F75" s="12" t="s">
        <v>19</v>
      </c>
      <c r="G75" s="13">
        <v>99224</v>
      </c>
      <c r="H75" s="10" t="s">
        <v>182</v>
      </c>
      <c r="I75" s="25">
        <v>2</v>
      </c>
      <c r="J75" s="10">
        <v>800</v>
      </c>
      <c r="K75" s="10" t="s">
        <v>311</v>
      </c>
      <c r="L75" s="10"/>
      <c r="M75" s="10">
        <v>26</v>
      </c>
      <c r="N75" s="10" t="s">
        <v>458</v>
      </c>
      <c r="O75" s="10" t="s">
        <v>458</v>
      </c>
      <c r="P75" s="15">
        <f t="shared" si="7"/>
        <v>92000</v>
      </c>
      <c r="Q75" s="16">
        <v>99879</v>
      </c>
      <c r="R75" s="47"/>
      <c r="S75" s="17">
        <v>94749</v>
      </c>
      <c r="T75" s="18">
        <v>2001</v>
      </c>
      <c r="U75" s="18">
        <v>3130</v>
      </c>
      <c r="V75" s="18">
        <v>134316</v>
      </c>
      <c r="W75" s="50">
        <f t="shared" si="8"/>
        <v>0.58636631523803284</v>
      </c>
      <c r="X75" s="49">
        <f t="shared" si="9"/>
        <v>0.25382954069890062</v>
      </c>
      <c r="Y75" s="17">
        <v>150132</v>
      </c>
      <c r="Z75" s="17">
        <v>95987</v>
      </c>
      <c r="AA75" s="62">
        <f t="shared" si="10"/>
        <v>246119</v>
      </c>
      <c r="AB75" s="63" t="str">
        <f t="shared" si="11"/>
        <v/>
      </c>
      <c r="AC75" s="64">
        <f t="shared" si="12"/>
        <v>250000</v>
      </c>
    </row>
    <row r="76" spans="1:29" ht="26" x14ac:dyDescent="0.35">
      <c r="A76" s="10" t="s">
        <v>459</v>
      </c>
      <c r="B76" s="34" t="s">
        <v>4</v>
      </c>
      <c r="C76" s="34" t="s">
        <v>4</v>
      </c>
      <c r="E76" s="10" t="s">
        <v>460</v>
      </c>
      <c r="F76" s="12" t="s">
        <v>121</v>
      </c>
      <c r="H76" s="10" t="s">
        <v>461</v>
      </c>
      <c r="I76" s="25">
        <v>2</v>
      </c>
      <c r="J76" s="10">
        <v>90</v>
      </c>
      <c r="K76" s="10" t="s">
        <v>369</v>
      </c>
      <c r="L76" s="10">
        <v>10000</v>
      </c>
      <c r="M76" s="10">
        <v>2</v>
      </c>
      <c r="N76" s="10" t="s">
        <v>462</v>
      </c>
      <c r="O76" s="10" t="s">
        <v>463</v>
      </c>
      <c r="P76" s="15">
        <f>ROUND(J76*365*0.9*0.3*0.39*(44/12)/1.1,-2)</f>
        <v>11500</v>
      </c>
      <c r="Q76" s="38">
        <f>SUM(S76:U76)</f>
        <v>12106.555540000001</v>
      </c>
      <c r="R76" s="48" t="s">
        <v>505</v>
      </c>
      <c r="S76" s="39">
        <f>P76</f>
        <v>11500</v>
      </c>
      <c r="T76" s="39">
        <f>(J76*365*0.9)*(5000*2000/10^6)*(3.2*10^-2)/1000*25</f>
        <v>236.52</v>
      </c>
      <c r="U76" s="39">
        <f>(J76*365*0.9)*(5000*2000/10^6)*(4.2*10^-3)/1000*298</f>
        <v>370.03554000000008</v>
      </c>
      <c r="V76" s="39">
        <f>ROUND(J76*365*0.9*0.3*0.65*(44/12)/1.1,-2)</f>
        <v>19200</v>
      </c>
      <c r="W76" s="50">
        <f t="shared" si="8"/>
        <v>0.62540716612377845</v>
      </c>
      <c r="X76" s="49">
        <f t="shared" si="9"/>
        <v>0.27909090909090906</v>
      </c>
      <c r="Y76" s="37"/>
      <c r="Z76" s="37"/>
      <c r="AA76" s="62">
        <f t="shared" si="10"/>
        <v>30000</v>
      </c>
      <c r="AB76" s="63" t="str">
        <f t="shared" si="11"/>
        <v>Y</v>
      </c>
      <c r="AC76" s="64">
        <f t="shared" si="12"/>
        <v>30000</v>
      </c>
    </row>
    <row r="77" spans="1:29" ht="13.5" thickBot="1" x14ac:dyDescent="0.4">
      <c r="A77" s="28" t="s">
        <v>464</v>
      </c>
      <c r="B77" s="36">
        <v>4005</v>
      </c>
      <c r="C77" s="36">
        <v>1000219</v>
      </c>
      <c r="D77" s="29" t="s">
        <v>476</v>
      </c>
      <c r="E77" s="28" t="s">
        <v>465</v>
      </c>
      <c r="F77" s="30" t="s">
        <v>121</v>
      </c>
      <c r="G77" s="31">
        <v>54603</v>
      </c>
      <c r="H77" s="28" t="s">
        <v>465</v>
      </c>
      <c r="I77" s="32">
        <v>2</v>
      </c>
      <c r="J77" s="28">
        <v>400</v>
      </c>
      <c r="K77" s="28" t="s">
        <v>321</v>
      </c>
      <c r="L77" s="28"/>
      <c r="M77" s="28">
        <v>28</v>
      </c>
      <c r="N77" s="28" t="s">
        <v>404</v>
      </c>
      <c r="O77" s="28" t="s">
        <v>404</v>
      </c>
      <c r="P77" s="33">
        <f t="shared" si="7"/>
        <v>46000</v>
      </c>
      <c r="Q77" s="46">
        <v>32146</v>
      </c>
      <c r="R77" s="53"/>
      <c r="S77" s="46">
        <v>29791</v>
      </c>
      <c r="T77" s="46">
        <v>662</v>
      </c>
      <c r="U77" s="46">
        <v>1693</v>
      </c>
      <c r="V77" s="46">
        <v>107630</v>
      </c>
      <c r="W77" s="51">
        <f t="shared" si="8"/>
        <v>0.78321362819365303</v>
      </c>
      <c r="X77" s="52">
        <f t="shared" si="9"/>
        <v>0.65121028887709453</v>
      </c>
      <c r="Y77" s="46">
        <v>35106</v>
      </c>
      <c r="Z77" s="46">
        <v>22446</v>
      </c>
      <c r="AA77" s="46">
        <f t="shared" si="10"/>
        <v>57552</v>
      </c>
      <c r="AB77" s="67" t="str">
        <f t="shared" si="11"/>
        <v/>
      </c>
      <c r="AC77" s="68">
        <f t="shared" si="12"/>
        <v>83000</v>
      </c>
    </row>
    <row r="78" spans="1:29" x14ac:dyDescent="0.35">
      <c r="Q78" s="69">
        <f t="shared" ref="Q78:Z78" si="13">SUM(Q4:Q77)</f>
        <v>11104285.785103999</v>
      </c>
      <c r="R78" s="70"/>
      <c r="S78" s="69">
        <f t="shared" si="13"/>
        <v>10281287</v>
      </c>
      <c r="T78" s="69">
        <f t="shared" si="13"/>
        <v>225514.152</v>
      </c>
      <c r="U78" s="69">
        <f t="shared" si="13"/>
        <v>353459.13310400007</v>
      </c>
      <c r="V78" s="69">
        <f t="shared" si="13"/>
        <v>16051663.199999999</v>
      </c>
      <c r="W78" s="71">
        <f t="shared" si="8"/>
        <v>0.60956569917486869</v>
      </c>
      <c r="X78" s="69"/>
      <c r="Y78" s="69">
        <f t="shared" si="13"/>
        <v>17219585</v>
      </c>
      <c r="Z78" s="69">
        <f t="shared" si="13"/>
        <v>11009231</v>
      </c>
      <c r="AA78" s="69">
        <f>SUM(AA4:AA77)</f>
        <v>28760816</v>
      </c>
    </row>
    <row r="79" spans="1:29" x14ac:dyDescent="0.35">
      <c r="P79" s="11" t="s">
        <v>504</v>
      </c>
      <c r="Q79" s="72">
        <f>SUMIF(R4:R77,"Y",Q4:Q77)/Q78</f>
        <v>5.1999599273155062E-3</v>
      </c>
      <c r="AA79" s="72">
        <f>SUMIF(AB4:AB77,"Y",AA4:AA77)/AA78</f>
        <v>1.849738894751804E-2</v>
      </c>
    </row>
    <row r="81" spans="16:17" x14ac:dyDescent="0.35">
      <c r="P81" s="34" t="s">
        <v>506</v>
      </c>
      <c r="Q81" s="73">
        <f>(S78+V78)*(12/44)/AA78</f>
        <v>0.24970479595951278</v>
      </c>
    </row>
    <row r="82" spans="16:17" x14ac:dyDescent="0.35">
      <c r="P82" s="34" t="s">
        <v>507</v>
      </c>
      <c r="Q82" s="74">
        <f>V78/(S78+V78)</f>
        <v>0.60956569917486869</v>
      </c>
    </row>
  </sheetData>
  <sortState xmlns:xlrd2="http://schemas.microsoft.com/office/spreadsheetml/2017/richdata2" ref="A4:Z77">
    <sortCondition ref="F4:F77"/>
    <sortCondition ref="A4:A77"/>
  </sortState>
  <mergeCells count="3">
    <mergeCell ref="Q2:V2"/>
    <mergeCell ref="Y2:AA2"/>
    <mergeCell ref="I2:M2"/>
  </mergeCells>
  <pageMargins left="0.7" right="0.7" top="0.75" bottom="0.75" header="0.3" footer="0.3"/>
  <pageSetup orientation="portrait" horizontalDpi="4294967293" verticalDpi="0" r:id="rId1"/>
  <ignoredErrors>
    <ignoredError sqref="AA4:AA23 AA25:AA77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9CC794-E8BA-43E8-B988-889E5FFF4BD5}">
  <dimension ref="B1:O139"/>
  <sheetViews>
    <sheetView workbookViewId="0">
      <selection activeCell="K27" sqref="K27"/>
    </sheetView>
  </sheetViews>
  <sheetFormatPr defaultRowHeight="14.5" x14ac:dyDescent="0.35"/>
  <cols>
    <col min="8" max="8" width="41.1796875" bestFit="1" customWidth="1"/>
    <col min="9" max="9" width="16.26953125" bestFit="1" customWidth="1"/>
    <col min="10" max="10" width="13.1796875" bestFit="1" customWidth="1"/>
    <col min="11" max="11" width="11.26953125" bestFit="1" customWidth="1"/>
    <col min="12" max="12" width="16.26953125" bestFit="1" customWidth="1"/>
    <col min="13" max="13" width="11.26953125" bestFit="1" customWidth="1"/>
  </cols>
  <sheetData>
    <row r="1" spans="2:10" x14ac:dyDescent="0.35">
      <c r="H1" s="2" t="s">
        <v>120</v>
      </c>
      <c r="I1" s="2" t="s">
        <v>119</v>
      </c>
    </row>
    <row r="2" spans="2:10" x14ac:dyDescent="0.35">
      <c r="I2" t="s">
        <v>110</v>
      </c>
      <c r="J2" t="s">
        <v>112</v>
      </c>
    </row>
    <row r="3" spans="2:10" x14ac:dyDescent="0.35">
      <c r="B3" s="1" t="s">
        <v>113</v>
      </c>
      <c r="C3" s="1" t="s">
        <v>114</v>
      </c>
      <c r="D3" s="1" t="s">
        <v>115</v>
      </c>
      <c r="E3" s="1" t="s">
        <v>116</v>
      </c>
      <c r="H3" s="2" t="s">
        <v>117</v>
      </c>
      <c r="I3" t="s">
        <v>111</v>
      </c>
      <c r="J3" t="s">
        <v>111</v>
      </c>
    </row>
    <row r="4" spans="2:10" x14ac:dyDescent="0.35">
      <c r="B4" t="s">
        <v>42</v>
      </c>
      <c r="C4" t="s">
        <v>110</v>
      </c>
      <c r="D4" t="s">
        <v>111</v>
      </c>
      <c r="E4">
        <v>51735</v>
      </c>
      <c r="H4" s="3" t="s">
        <v>42</v>
      </c>
      <c r="I4" s="4">
        <v>51735</v>
      </c>
      <c r="J4" s="4">
        <v>33079</v>
      </c>
    </row>
    <row r="5" spans="2:10" x14ac:dyDescent="0.35">
      <c r="B5" t="s">
        <v>42</v>
      </c>
      <c r="C5" t="s">
        <v>112</v>
      </c>
      <c r="D5" t="s">
        <v>111</v>
      </c>
      <c r="E5">
        <v>33079</v>
      </c>
      <c r="H5" s="3" t="s">
        <v>43</v>
      </c>
      <c r="I5" s="4">
        <v>226241</v>
      </c>
      <c r="J5" s="4">
        <v>144642</v>
      </c>
    </row>
    <row r="6" spans="2:10" x14ac:dyDescent="0.35">
      <c r="B6" t="s">
        <v>43</v>
      </c>
      <c r="C6" t="s">
        <v>110</v>
      </c>
      <c r="D6" t="s">
        <v>111</v>
      </c>
      <c r="E6">
        <v>226241</v>
      </c>
      <c r="H6" s="3" t="s">
        <v>44</v>
      </c>
      <c r="I6" s="4">
        <v>213619</v>
      </c>
      <c r="J6" s="4">
        <v>136576</v>
      </c>
    </row>
    <row r="7" spans="2:10" x14ac:dyDescent="0.35">
      <c r="B7" t="s">
        <v>43</v>
      </c>
      <c r="C7" t="s">
        <v>112</v>
      </c>
      <c r="D7" t="s">
        <v>111</v>
      </c>
      <c r="E7">
        <v>144642</v>
      </c>
      <c r="H7" s="3" t="s">
        <v>45</v>
      </c>
      <c r="I7" s="4">
        <v>151748</v>
      </c>
      <c r="J7" s="4">
        <v>97015</v>
      </c>
    </row>
    <row r="8" spans="2:10" x14ac:dyDescent="0.35">
      <c r="B8" t="s">
        <v>44</v>
      </c>
      <c r="C8" t="s">
        <v>110</v>
      </c>
      <c r="D8" t="s">
        <v>111</v>
      </c>
      <c r="E8">
        <v>213619</v>
      </c>
      <c r="H8" s="3" t="s">
        <v>46</v>
      </c>
      <c r="I8" s="4">
        <v>135874</v>
      </c>
      <c r="J8" s="4">
        <v>86869</v>
      </c>
    </row>
    <row r="9" spans="2:10" x14ac:dyDescent="0.35">
      <c r="B9" t="s">
        <v>44</v>
      </c>
      <c r="C9" t="s">
        <v>112</v>
      </c>
      <c r="D9" t="s">
        <v>111</v>
      </c>
      <c r="E9">
        <v>136576</v>
      </c>
      <c r="H9" s="3" t="s">
        <v>47</v>
      </c>
      <c r="I9" s="4">
        <v>738396</v>
      </c>
      <c r="J9" s="4">
        <v>472098</v>
      </c>
    </row>
    <row r="10" spans="2:10" x14ac:dyDescent="0.35">
      <c r="B10" t="s">
        <v>45</v>
      </c>
      <c r="C10" t="s">
        <v>110</v>
      </c>
      <c r="D10" t="s">
        <v>111</v>
      </c>
      <c r="E10">
        <v>151748</v>
      </c>
      <c r="H10" s="3" t="s">
        <v>48</v>
      </c>
      <c r="I10" s="4">
        <v>601155</v>
      </c>
      <c r="J10" s="4">
        <v>384347</v>
      </c>
    </row>
    <row r="11" spans="2:10" x14ac:dyDescent="0.35">
      <c r="B11" t="s">
        <v>45</v>
      </c>
      <c r="C11" t="s">
        <v>112</v>
      </c>
      <c r="D11" t="s">
        <v>111</v>
      </c>
      <c r="E11">
        <v>97015</v>
      </c>
      <c r="H11" s="3" t="s">
        <v>49</v>
      </c>
      <c r="I11" s="4">
        <v>721331</v>
      </c>
      <c r="J11" s="4">
        <v>461172</v>
      </c>
    </row>
    <row r="12" spans="2:10" x14ac:dyDescent="0.35">
      <c r="B12" t="s">
        <v>46</v>
      </c>
      <c r="C12" t="s">
        <v>110</v>
      </c>
      <c r="D12" t="s">
        <v>111</v>
      </c>
      <c r="E12">
        <v>135874</v>
      </c>
      <c r="H12" s="3" t="s">
        <v>50</v>
      </c>
      <c r="I12" s="4">
        <v>374114</v>
      </c>
      <c r="J12" s="4">
        <v>239188</v>
      </c>
    </row>
    <row r="13" spans="2:10" x14ac:dyDescent="0.35">
      <c r="B13" t="s">
        <v>46</v>
      </c>
      <c r="C13" t="s">
        <v>112</v>
      </c>
      <c r="D13" t="s">
        <v>111</v>
      </c>
      <c r="E13">
        <v>86869</v>
      </c>
      <c r="H13" s="3" t="s">
        <v>51</v>
      </c>
      <c r="I13" s="4">
        <v>610217</v>
      </c>
      <c r="J13" s="4">
        <v>390141</v>
      </c>
    </row>
    <row r="14" spans="2:10" x14ac:dyDescent="0.35">
      <c r="B14" t="s">
        <v>47</v>
      </c>
      <c r="C14" t="s">
        <v>110</v>
      </c>
      <c r="D14" t="s">
        <v>111</v>
      </c>
      <c r="E14">
        <v>738396</v>
      </c>
      <c r="H14" s="3" t="s">
        <v>52</v>
      </c>
      <c r="I14" s="4">
        <v>209879</v>
      </c>
      <c r="J14" s="4">
        <v>134185</v>
      </c>
    </row>
    <row r="15" spans="2:10" x14ac:dyDescent="0.35">
      <c r="B15" t="s">
        <v>47</v>
      </c>
      <c r="C15" t="s">
        <v>112</v>
      </c>
      <c r="D15" t="s">
        <v>111</v>
      </c>
      <c r="E15">
        <v>472098</v>
      </c>
      <c r="H15" s="3" t="s">
        <v>53</v>
      </c>
      <c r="I15" s="4">
        <v>421462</v>
      </c>
      <c r="J15" s="4">
        <v>269461</v>
      </c>
    </row>
    <row r="16" spans="2:10" x14ac:dyDescent="0.35">
      <c r="B16" t="s">
        <v>48</v>
      </c>
      <c r="C16" t="s">
        <v>110</v>
      </c>
      <c r="D16" t="s">
        <v>111</v>
      </c>
      <c r="E16">
        <v>601155</v>
      </c>
      <c r="H16" s="3" t="s">
        <v>54</v>
      </c>
      <c r="I16" s="4">
        <v>94387</v>
      </c>
      <c r="J16" s="4">
        <v>60346</v>
      </c>
    </row>
    <row r="17" spans="2:15" x14ac:dyDescent="0.35">
      <c r="B17" t="s">
        <v>48</v>
      </c>
      <c r="C17" t="s">
        <v>112</v>
      </c>
      <c r="D17" t="s">
        <v>111</v>
      </c>
      <c r="E17">
        <v>384347</v>
      </c>
      <c r="H17" s="3" t="s">
        <v>55</v>
      </c>
      <c r="I17" s="4">
        <v>114155</v>
      </c>
      <c r="J17" s="4">
        <v>72986</v>
      </c>
    </row>
    <row r="18" spans="2:15" x14ac:dyDescent="0.35">
      <c r="B18" t="s">
        <v>49</v>
      </c>
      <c r="C18" t="s">
        <v>110</v>
      </c>
      <c r="D18" t="s">
        <v>111</v>
      </c>
      <c r="E18">
        <v>721331</v>
      </c>
      <c r="H18" s="3" t="s">
        <v>56</v>
      </c>
      <c r="I18" s="4">
        <v>500240</v>
      </c>
      <c r="J18" s="4">
        <v>319826</v>
      </c>
    </row>
    <row r="19" spans="2:15" x14ac:dyDescent="0.35">
      <c r="B19" t="s">
        <v>49</v>
      </c>
      <c r="C19" t="s">
        <v>112</v>
      </c>
      <c r="D19" t="s">
        <v>111</v>
      </c>
      <c r="E19">
        <v>461172</v>
      </c>
      <c r="H19" s="3" t="s">
        <v>57</v>
      </c>
      <c r="I19" s="4">
        <v>239914</v>
      </c>
      <c r="J19" s="4">
        <v>153388</v>
      </c>
    </row>
    <row r="20" spans="2:15" x14ac:dyDescent="0.35">
      <c r="B20" t="s">
        <v>50</v>
      </c>
      <c r="C20" t="s">
        <v>110</v>
      </c>
      <c r="D20" t="s">
        <v>111</v>
      </c>
      <c r="E20">
        <v>374114</v>
      </c>
      <c r="H20" s="7" t="s">
        <v>58</v>
      </c>
      <c r="I20" s="8">
        <v>153923</v>
      </c>
      <c r="J20" s="8">
        <v>98410</v>
      </c>
    </row>
    <row r="21" spans="2:15" x14ac:dyDescent="0.35">
      <c r="B21" t="s">
        <v>50</v>
      </c>
      <c r="C21" t="s">
        <v>112</v>
      </c>
      <c r="D21" t="s">
        <v>111</v>
      </c>
      <c r="E21">
        <v>239188</v>
      </c>
      <c r="H21" s="3" t="s">
        <v>59</v>
      </c>
      <c r="I21" s="4">
        <v>165443</v>
      </c>
      <c r="J21" s="4">
        <v>105779</v>
      </c>
    </row>
    <row r="22" spans="2:15" x14ac:dyDescent="0.35">
      <c r="B22" t="s">
        <v>51</v>
      </c>
      <c r="C22" t="s">
        <v>110</v>
      </c>
      <c r="D22" t="s">
        <v>111</v>
      </c>
      <c r="E22">
        <v>610217</v>
      </c>
      <c r="H22" s="3" t="s">
        <v>60</v>
      </c>
      <c r="I22" s="4">
        <v>197390</v>
      </c>
      <c r="J22" s="4">
        <v>126201</v>
      </c>
    </row>
    <row r="23" spans="2:15" x14ac:dyDescent="0.35">
      <c r="B23" t="s">
        <v>51</v>
      </c>
      <c r="C23" t="s">
        <v>112</v>
      </c>
      <c r="D23" t="s">
        <v>111</v>
      </c>
      <c r="E23">
        <v>390141</v>
      </c>
      <c r="H23" s="3" t="s">
        <v>61</v>
      </c>
      <c r="I23" s="4">
        <v>11401</v>
      </c>
      <c r="J23" s="4">
        <v>7288</v>
      </c>
      <c r="L23" s="9"/>
    </row>
    <row r="24" spans="2:15" x14ac:dyDescent="0.35">
      <c r="B24" t="s">
        <v>52</v>
      </c>
      <c r="C24" t="s">
        <v>110</v>
      </c>
      <c r="D24" t="s">
        <v>111</v>
      </c>
      <c r="E24">
        <v>209879</v>
      </c>
      <c r="H24" s="7" t="s">
        <v>62</v>
      </c>
      <c r="I24" s="8">
        <v>303964</v>
      </c>
      <c r="J24" s="8">
        <v>194334</v>
      </c>
      <c r="L24" s="9"/>
      <c r="M24" s="9"/>
      <c r="N24" s="9"/>
      <c r="O24" s="9"/>
    </row>
    <row r="25" spans="2:15" x14ac:dyDescent="0.35">
      <c r="B25" t="s">
        <v>52</v>
      </c>
      <c r="C25" t="s">
        <v>112</v>
      </c>
      <c r="D25" t="s">
        <v>111</v>
      </c>
      <c r="E25">
        <v>134185</v>
      </c>
      <c r="H25" s="3" t="s">
        <v>63</v>
      </c>
      <c r="I25" s="4">
        <v>92125</v>
      </c>
      <c r="J25" s="4">
        <v>58900</v>
      </c>
      <c r="L25" s="9"/>
      <c r="M25" s="9"/>
      <c r="N25" s="9"/>
      <c r="O25" s="9"/>
    </row>
    <row r="26" spans="2:15" x14ac:dyDescent="0.35">
      <c r="B26" t="s">
        <v>53</v>
      </c>
      <c r="C26" t="s">
        <v>110</v>
      </c>
      <c r="D26" t="s">
        <v>111</v>
      </c>
      <c r="E26">
        <v>421462</v>
      </c>
      <c r="H26" s="5" t="s">
        <v>64</v>
      </c>
      <c r="I26" s="6">
        <v>5674</v>
      </c>
      <c r="J26" s="6">
        <v>3628</v>
      </c>
      <c r="K26" t="s">
        <v>485</v>
      </c>
      <c r="L26" s="9"/>
      <c r="M26" s="9"/>
      <c r="N26" s="9"/>
      <c r="O26" s="9"/>
    </row>
    <row r="27" spans="2:15" x14ac:dyDescent="0.35">
      <c r="B27" t="s">
        <v>53</v>
      </c>
      <c r="C27" t="s">
        <v>112</v>
      </c>
      <c r="D27" t="s">
        <v>111</v>
      </c>
      <c r="E27">
        <v>269461</v>
      </c>
      <c r="H27" s="7" t="s">
        <v>65</v>
      </c>
      <c r="I27" s="8">
        <v>35106</v>
      </c>
      <c r="J27" s="8">
        <v>22446</v>
      </c>
    </row>
    <row r="28" spans="2:15" x14ac:dyDescent="0.35">
      <c r="B28" t="s">
        <v>54</v>
      </c>
      <c r="C28" t="s">
        <v>110</v>
      </c>
      <c r="D28" t="s">
        <v>111</v>
      </c>
      <c r="E28">
        <v>94387</v>
      </c>
      <c r="H28" s="3" t="s">
        <v>66</v>
      </c>
      <c r="I28" s="4">
        <v>99002</v>
      </c>
      <c r="J28" s="4">
        <v>63297</v>
      </c>
    </row>
    <row r="29" spans="2:15" x14ac:dyDescent="0.35">
      <c r="B29" t="s">
        <v>54</v>
      </c>
      <c r="C29" t="s">
        <v>112</v>
      </c>
      <c r="D29" t="s">
        <v>111</v>
      </c>
      <c r="E29">
        <v>60346</v>
      </c>
      <c r="H29" s="3" t="s">
        <v>67</v>
      </c>
      <c r="I29" s="4">
        <v>453635</v>
      </c>
      <c r="J29" s="4">
        <v>290030</v>
      </c>
    </row>
    <row r="30" spans="2:15" x14ac:dyDescent="0.35">
      <c r="B30" t="s">
        <v>55</v>
      </c>
      <c r="C30" t="s">
        <v>110</v>
      </c>
      <c r="D30" t="s">
        <v>111</v>
      </c>
      <c r="E30">
        <v>114155</v>
      </c>
      <c r="H30" s="3" t="s">
        <v>68</v>
      </c>
      <c r="I30" s="4">
        <v>173350</v>
      </c>
      <c r="J30" s="4">
        <v>110830</v>
      </c>
    </row>
    <row r="31" spans="2:15" x14ac:dyDescent="0.35">
      <c r="B31" t="s">
        <v>55</v>
      </c>
      <c r="C31" t="s">
        <v>112</v>
      </c>
      <c r="D31" t="s">
        <v>111</v>
      </c>
      <c r="E31">
        <v>72986</v>
      </c>
      <c r="H31" s="3" t="s">
        <v>69</v>
      </c>
      <c r="I31" s="4">
        <v>295406</v>
      </c>
      <c r="J31" s="4">
        <v>188864</v>
      </c>
    </row>
    <row r="32" spans="2:15" x14ac:dyDescent="0.35">
      <c r="B32" t="s">
        <v>56</v>
      </c>
      <c r="C32" t="s">
        <v>110</v>
      </c>
      <c r="D32" t="s">
        <v>111</v>
      </c>
      <c r="E32">
        <v>500240</v>
      </c>
      <c r="H32" s="3" t="s">
        <v>70</v>
      </c>
      <c r="I32" s="4">
        <v>211557</v>
      </c>
      <c r="J32" s="4">
        <v>135256</v>
      </c>
    </row>
    <row r="33" spans="2:10" x14ac:dyDescent="0.35">
      <c r="B33" t="s">
        <v>56</v>
      </c>
      <c r="C33" t="s">
        <v>112</v>
      </c>
      <c r="D33" t="s">
        <v>111</v>
      </c>
      <c r="E33">
        <v>319826</v>
      </c>
      <c r="H33" s="3" t="s">
        <v>71</v>
      </c>
      <c r="I33" s="4">
        <v>113504</v>
      </c>
      <c r="J33" s="4">
        <v>72568</v>
      </c>
    </row>
    <row r="34" spans="2:10" x14ac:dyDescent="0.35">
      <c r="B34" t="s">
        <v>57</v>
      </c>
      <c r="C34" t="s">
        <v>110</v>
      </c>
      <c r="D34" t="s">
        <v>111</v>
      </c>
      <c r="E34">
        <v>239914</v>
      </c>
      <c r="H34" s="3" t="s">
        <v>72</v>
      </c>
      <c r="I34" s="4">
        <v>247666</v>
      </c>
      <c r="J34" s="4">
        <v>158345</v>
      </c>
    </row>
    <row r="35" spans="2:10" x14ac:dyDescent="0.35">
      <c r="B35" t="s">
        <v>57</v>
      </c>
      <c r="C35" t="s">
        <v>112</v>
      </c>
      <c r="D35" t="s">
        <v>111</v>
      </c>
      <c r="E35">
        <v>153388</v>
      </c>
      <c r="H35" s="3" t="s">
        <v>73</v>
      </c>
      <c r="I35" s="4">
        <v>376188</v>
      </c>
      <c r="J35" s="4">
        <v>240516</v>
      </c>
    </row>
    <row r="36" spans="2:10" x14ac:dyDescent="0.35">
      <c r="B36" t="s">
        <v>58</v>
      </c>
      <c r="C36" t="s">
        <v>110</v>
      </c>
      <c r="D36" t="s">
        <v>111</v>
      </c>
      <c r="E36">
        <v>153923</v>
      </c>
      <c r="H36" s="3" t="s">
        <v>74</v>
      </c>
      <c r="I36" s="4">
        <v>102641</v>
      </c>
      <c r="J36" s="4">
        <v>65622</v>
      </c>
    </row>
    <row r="37" spans="2:10" x14ac:dyDescent="0.35">
      <c r="B37" t="s">
        <v>58</v>
      </c>
      <c r="C37" t="s">
        <v>112</v>
      </c>
      <c r="D37" t="s">
        <v>111</v>
      </c>
      <c r="E37">
        <v>98410</v>
      </c>
      <c r="H37" s="3" t="s">
        <v>75</v>
      </c>
      <c r="I37" s="4">
        <v>189189</v>
      </c>
      <c r="J37" s="4">
        <v>120956</v>
      </c>
    </row>
    <row r="38" spans="2:10" x14ac:dyDescent="0.35">
      <c r="B38" t="s">
        <v>59</v>
      </c>
      <c r="C38" t="s">
        <v>110</v>
      </c>
      <c r="D38" t="s">
        <v>111</v>
      </c>
      <c r="E38">
        <v>165443</v>
      </c>
      <c r="H38" s="3" t="s">
        <v>76</v>
      </c>
      <c r="I38" s="4">
        <v>383971</v>
      </c>
      <c r="J38" s="4">
        <v>245492</v>
      </c>
    </row>
    <row r="39" spans="2:10" x14ac:dyDescent="0.35">
      <c r="B39" t="s">
        <v>59</v>
      </c>
      <c r="C39" t="s">
        <v>112</v>
      </c>
      <c r="D39" t="s">
        <v>111</v>
      </c>
      <c r="E39">
        <v>105779</v>
      </c>
      <c r="H39" s="7" t="s">
        <v>77</v>
      </c>
      <c r="I39" s="8">
        <v>43675</v>
      </c>
      <c r="J39" s="8">
        <v>27924</v>
      </c>
    </row>
    <row r="40" spans="2:10" x14ac:dyDescent="0.35">
      <c r="B40" t="s">
        <v>60</v>
      </c>
      <c r="C40" t="s">
        <v>110</v>
      </c>
      <c r="D40" t="s">
        <v>111</v>
      </c>
      <c r="E40">
        <v>197390</v>
      </c>
      <c r="H40" s="3" t="s">
        <v>78</v>
      </c>
      <c r="I40" s="4">
        <v>367667</v>
      </c>
      <c r="J40" s="4">
        <v>235069</v>
      </c>
    </row>
    <row r="41" spans="2:10" x14ac:dyDescent="0.35">
      <c r="B41" t="s">
        <v>60</v>
      </c>
      <c r="C41" t="s">
        <v>112</v>
      </c>
      <c r="D41" t="s">
        <v>111</v>
      </c>
      <c r="E41">
        <v>126201</v>
      </c>
      <c r="H41" s="3" t="s">
        <v>79</v>
      </c>
      <c r="I41" s="4">
        <v>71064</v>
      </c>
      <c r="J41" s="4">
        <v>45434</v>
      </c>
    </row>
    <row r="42" spans="2:10" x14ac:dyDescent="0.35">
      <c r="B42" t="s">
        <v>61</v>
      </c>
      <c r="C42" t="s">
        <v>110</v>
      </c>
      <c r="D42" t="s">
        <v>111</v>
      </c>
      <c r="E42">
        <v>11401</v>
      </c>
      <c r="H42" s="3" t="s">
        <v>80</v>
      </c>
      <c r="I42" s="4">
        <v>221208</v>
      </c>
      <c r="J42" s="4">
        <v>141427</v>
      </c>
    </row>
    <row r="43" spans="2:10" x14ac:dyDescent="0.35">
      <c r="B43" t="s">
        <v>61</v>
      </c>
      <c r="C43" t="s">
        <v>112</v>
      </c>
      <c r="D43" t="s">
        <v>111</v>
      </c>
      <c r="E43">
        <v>7288</v>
      </c>
      <c r="H43" s="3" t="s">
        <v>81</v>
      </c>
      <c r="I43" s="4">
        <v>32831</v>
      </c>
      <c r="J43" s="4">
        <v>20990</v>
      </c>
    </row>
    <row r="44" spans="2:10" x14ac:dyDescent="0.35">
      <c r="B44" t="s">
        <v>62</v>
      </c>
      <c r="C44" t="s">
        <v>110</v>
      </c>
      <c r="D44" t="s">
        <v>111</v>
      </c>
      <c r="E44">
        <v>303964</v>
      </c>
      <c r="H44" s="3" t="s">
        <v>82</v>
      </c>
      <c r="I44" s="4">
        <v>351390</v>
      </c>
      <c r="J44" s="4">
        <v>224658</v>
      </c>
    </row>
    <row r="45" spans="2:10" x14ac:dyDescent="0.35">
      <c r="B45" t="s">
        <v>62</v>
      </c>
      <c r="C45" t="s">
        <v>112</v>
      </c>
      <c r="D45" t="s">
        <v>111</v>
      </c>
      <c r="E45">
        <v>194334</v>
      </c>
      <c r="H45" s="3" t="s">
        <v>83</v>
      </c>
      <c r="I45" s="4">
        <v>599343</v>
      </c>
      <c r="J45" s="4">
        <v>383190</v>
      </c>
    </row>
    <row r="46" spans="2:10" x14ac:dyDescent="0.35">
      <c r="B46" t="s">
        <v>63</v>
      </c>
      <c r="C46" t="s">
        <v>110</v>
      </c>
      <c r="D46" t="s">
        <v>111</v>
      </c>
      <c r="E46">
        <v>92125</v>
      </c>
      <c r="H46" s="3" t="s">
        <v>84</v>
      </c>
      <c r="I46" s="4">
        <v>208322</v>
      </c>
      <c r="J46" s="4">
        <v>133190</v>
      </c>
    </row>
    <row r="47" spans="2:10" x14ac:dyDescent="0.35">
      <c r="B47" t="s">
        <v>63</v>
      </c>
      <c r="C47" t="s">
        <v>112</v>
      </c>
      <c r="D47" t="s">
        <v>111</v>
      </c>
      <c r="E47">
        <v>58900</v>
      </c>
      <c r="H47" s="3" t="s">
        <v>85</v>
      </c>
      <c r="I47" s="4">
        <v>96289</v>
      </c>
      <c r="J47" s="4">
        <v>61562</v>
      </c>
    </row>
    <row r="48" spans="2:10" x14ac:dyDescent="0.35">
      <c r="B48" t="s">
        <v>64</v>
      </c>
      <c r="C48" t="s">
        <v>110</v>
      </c>
      <c r="D48" t="s">
        <v>111</v>
      </c>
      <c r="E48">
        <v>5674</v>
      </c>
      <c r="H48" s="3" t="s">
        <v>86</v>
      </c>
      <c r="I48" s="4">
        <v>517899</v>
      </c>
      <c r="J48" s="4">
        <v>331118</v>
      </c>
    </row>
    <row r="49" spans="2:10" x14ac:dyDescent="0.35">
      <c r="B49" t="s">
        <v>64</v>
      </c>
      <c r="C49" t="s">
        <v>112</v>
      </c>
      <c r="D49" t="s">
        <v>111</v>
      </c>
      <c r="E49">
        <v>3628</v>
      </c>
      <c r="H49" s="7" t="s">
        <v>87</v>
      </c>
      <c r="I49" s="8">
        <v>68178</v>
      </c>
      <c r="J49" s="8">
        <v>43589</v>
      </c>
    </row>
    <row r="50" spans="2:10" x14ac:dyDescent="0.35">
      <c r="B50" t="s">
        <v>65</v>
      </c>
      <c r="C50" t="s">
        <v>110</v>
      </c>
      <c r="D50" t="s">
        <v>111</v>
      </c>
      <c r="E50">
        <v>35106</v>
      </c>
      <c r="H50" s="7" t="s">
        <v>88</v>
      </c>
      <c r="I50" s="8">
        <v>145927</v>
      </c>
      <c r="J50" s="8">
        <v>93297</v>
      </c>
    </row>
    <row r="51" spans="2:10" x14ac:dyDescent="0.35">
      <c r="B51" t="s">
        <v>65</v>
      </c>
      <c r="C51" t="s">
        <v>112</v>
      </c>
      <c r="D51" t="s">
        <v>111</v>
      </c>
      <c r="E51">
        <v>22446</v>
      </c>
      <c r="H51" s="3" t="s">
        <v>89</v>
      </c>
      <c r="I51" s="4">
        <v>107989</v>
      </c>
      <c r="J51" s="4">
        <v>69045</v>
      </c>
    </row>
    <row r="52" spans="2:10" x14ac:dyDescent="0.35">
      <c r="B52" t="s">
        <v>66</v>
      </c>
      <c r="C52" t="s">
        <v>110</v>
      </c>
      <c r="D52" t="s">
        <v>111</v>
      </c>
      <c r="E52">
        <v>99002</v>
      </c>
      <c r="H52" s="3" t="s">
        <v>90</v>
      </c>
      <c r="I52" s="4">
        <v>656572</v>
      </c>
      <c r="J52" s="4">
        <v>419770</v>
      </c>
    </row>
    <row r="53" spans="2:10" x14ac:dyDescent="0.35">
      <c r="B53" t="s">
        <v>66</v>
      </c>
      <c r="C53" t="s">
        <v>112</v>
      </c>
      <c r="D53" t="s">
        <v>111</v>
      </c>
      <c r="E53">
        <v>63297</v>
      </c>
      <c r="H53" s="3" t="s">
        <v>91</v>
      </c>
      <c r="I53" s="4">
        <v>233365</v>
      </c>
      <c r="J53" s="4">
        <v>149194</v>
      </c>
    </row>
    <row r="54" spans="2:10" x14ac:dyDescent="0.35">
      <c r="B54" t="s">
        <v>67</v>
      </c>
      <c r="C54" t="s">
        <v>110</v>
      </c>
      <c r="D54" t="s">
        <v>111</v>
      </c>
      <c r="E54">
        <v>453635</v>
      </c>
      <c r="H54" s="3" t="s">
        <v>92</v>
      </c>
      <c r="I54" s="4">
        <v>150132</v>
      </c>
      <c r="J54" s="4">
        <v>95987</v>
      </c>
    </row>
    <row r="55" spans="2:10" x14ac:dyDescent="0.35">
      <c r="B55" t="s">
        <v>67</v>
      </c>
      <c r="C55" t="s">
        <v>112</v>
      </c>
      <c r="D55" t="s">
        <v>111</v>
      </c>
      <c r="E55">
        <v>290030</v>
      </c>
      <c r="H55" s="3" t="s">
        <v>93</v>
      </c>
      <c r="I55" s="4">
        <v>0</v>
      </c>
      <c r="J55" s="4">
        <v>0</v>
      </c>
    </row>
    <row r="56" spans="2:10" x14ac:dyDescent="0.35">
      <c r="B56" t="s">
        <v>68</v>
      </c>
      <c r="C56" t="s">
        <v>110</v>
      </c>
      <c r="D56" t="s">
        <v>111</v>
      </c>
      <c r="E56">
        <v>173350</v>
      </c>
      <c r="H56" s="3" t="s">
        <v>94</v>
      </c>
      <c r="I56" s="4">
        <v>329783</v>
      </c>
      <c r="J56" s="4">
        <v>210847</v>
      </c>
    </row>
    <row r="57" spans="2:10" x14ac:dyDescent="0.35">
      <c r="B57" t="s">
        <v>68</v>
      </c>
      <c r="C57" t="s">
        <v>112</v>
      </c>
      <c r="D57" t="s">
        <v>111</v>
      </c>
      <c r="E57">
        <v>110830</v>
      </c>
      <c r="H57" s="3" t="s">
        <v>95</v>
      </c>
      <c r="I57" s="4">
        <v>410158</v>
      </c>
      <c r="J57" s="4">
        <v>262229</v>
      </c>
    </row>
    <row r="58" spans="2:10" x14ac:dyDescent="0.35">
      <c r="B58" t="s">
        <v>69</v>
      </c>
      <c r="C58" t="s">
        <v>110</v>
      </c>
      <c r="D58" t="s">
        <v>111</v>
      </c>
      <c r="E58">
        <v>295406</v>
      </c>
      <c r="H58" s="3" t="s">
        <v>96</v>
      </c>
      <c r="I58" s="4">
        <v>445952</v>
      </c>
      <c r="J58" s="4">
        <v>285114</v>
      </c>
    </row>
    <row r="59" spans="2:10" x14ac:dyDescent="0.35">
      <c r="B59" t="s">
        <v>69</v>
      </c>
      <c r="C59" t="s">
        <v>112</v>
      </c>
      <c r="D59" t="s">
        <v>111</v>
      </c>
      <c r="E59">
        <v>188864</v>
      </c>
      <c r="H59" s="3" t="s">
        <v>97</v>
      </c>
      <c r="I59" s="4">
        <v>116027</v>
      </c>
      <c r="J59" s="4">
        <v>74183</v>
      </c>
    </row>
    <row r="60" spans="2:10" x14ac:dyDescent="0.35">
      <c r="B60" t="s">
        <v>70</v>
      </c>
      <c r="C60" t="s">
        <v>110</v>
      </c>
      <c r="D60" t="s">
        <v>111</v>
      </c>
      <c r="E60">
        <v>211557</v>
      </c>
      <c r="H60" s="3" t="s">
        <v>98</v>
      </c>
      <c r="I60" s="4">
        <v>293081</v>
      </c>
      <c r="J60" s="4">
        <v>187380</v>
      </c>
    </row>
    <row r="61" spans="2:10" x14ac:dyDescent="0.35">
      <c r="B61" t="s">
        <v>70</v>
      </c>
      <c r="C61" t="s">
        <v>112</v>
      </c>
      <c r="D61" t="s">
        <v>111</v>
      </c>
      <c r="E61">
        <v>135256</v>
      </c>
      <c r="H61" s="3" t="s">
        <v>99</v>
      </c>
      <c r="I61" s="4">
        <v>111950</v>
      </c>
      <c r="J61" s="4">
        <v>71576</v>
      </c>
    </row>
    <row r="62" spans="2:10" x14ac:dyDescent="0.35">
      <c r="B62" t="s">
        <v>71</v>
      </c>
      <c r="C62" t="s">
        <v>110</v>
      </c>
      <c r="D62" t="s">
        <v>111</v>
      </c>
      <c r="E62">
        <v>113504</v>
      </c>
      <c r="H62" s="3" t="s">
        <v>100</v>
      </c>
      <c r="I62" s="4">
        <v>92858</v>
      </c>
      <c r="J62" s="4">
        <v>59365</v>
      </c>
    </row>
    <row r="63" spans="2:10" x14ac:dyDescent="0.35">
      <c r="B63" t="s">
        <v>71</v>
      </c>
      <c r="C63" t="s">
        <v>112</v>
      </c>
      <c r="D63" t="s">
        <v>111</v>
      </c>
      <c r="E63">
        <v>72568</v>
      </c>
      <c r="H63" s="3" t="s">
        <v>101</v>
      </c>
      <c r="I63" s="4">
        <v>113099</v>
      </c>
      <c r="J63" s="4">
        <v>72307</v>
      </c>
    </row>
    <row r="64" spans="2:10" x14ac:dyDescent="0.35">
      <c r="B64" t="s">
        <v>72</v>
      </c>
      <c r="C64" t="s">
        <v>110</v>
      </c>
      <c r="D64" t="s">
        <v>111</v>
      </c>
      <c r="E64">
        <v>247666</v>
      </c>
      <c r="H64" s="3" t="s">
        <v>102</v>
      </c>
      <c r="I64" s="4">
        <v>290992</v>
      </c>
      <c r="J64" s="4">
        <v>186043</v>
      </c>
    </row>
    <row r="65" spans="2:10" x14ac:dyDescent="0.35">
      <c r="B65" t="s">
        <v>72</v>
      </c>
      <c r="C65" t="s">
        <v>112</v>
      </c>
      <c r="D65" t="s">
        <v>111</v>
      </c>
      <c r="E65">
        <v>158345</v>
      </c>
      <c r="H65" s="3" t="s">
        <v>103</v>
      </c>
      <c r="I65" s="4">
        <v>258813</v>
      </c>
      <c r="J65" s="4">
        <v>165472</v>
      </c>
    </row>
    <row r="66" spans="2:10" x14ac:dyDescent="0.35">
      <c r="B66" t="s">
        <v>73</v>
      </c>
      <c r="C66" t="s">
        <v>110</v>
      </c>
      <c r="D66" t="s">
        <v>111</v>
      </c>
      <c r="E66">
        <v>376188</v>
      </c>
      <c r="H66" s="3" t="s">
        <v>104</v>
      </c>
      <c r="I66" s="4">
        <v>364017</v>
      </c>
      <c r="J66" s="4">
        <v>232731</v>
      </c>
    </row>
    <row r="67" spans="2:10" x14ac:dyDescent="0.35">
      <c r="B67" t="s">
        <v>73</v>
      </c>
      <c r="C67" t="s">
        <v>112</v>
      </c>
      <c r="D67" t="s">
        <v>111</v>
      </c>
      <c r="E67">
        <v>240516</v>
      </c>
      <c r="H67" s="3" t="s">
        <v>105</v>
      </c>
      <c r="I67" s="4">
        <v>225939</v>
      </c>
      <c r="J67" s="4">
        <v>144453</v>
      </c>
    </row>
    <row r="68" spans="2:10" x14ac:dyDescent="0.35">
      <c r="B68" t="s">
        <v>74</v>
      </c>
      <c r="C68" t="s">
        <v>110</v>
      </c>
      <c r="D68" t="s">
        <v>111</v>
      </c>
      <c r="E68">
        <v>102641</v>
      </c>
      <c r="H68" s="3" t="s">
        <v>106</v>
      </c>
      <c r="I68" s="4">
        <v>477429</v>
      </c>
      <c r="J68" s="4">
        <v>305237</v>
      </c>
    </row>
    <row r="69" spans="2:10" x14ac:dyDescent="0.35">
      <c r="B69" t="s">
        <v>74</v>
      </c>
      <c r="C69" t="s">
        <v>112</v>
      </c>
      <c r="D69" t="s">
        <v>111</v>
      </c>
      <c r="E69">
        <v>65622</v>
      </c>
      <c r="H69" s="3" t="s">
        <v>107</v>
      </c>
      <c r="I69" s="4">
        <v>409702</v>
      </c>
      <c r="J69" s="4">
        <v>261943</v>
      </c>
    </row>
    <row r="70" spans="2:10" x14ac:dyDescent="0.35">
      <c r="B70" t="s">
        <v>75</v>
      </c>
      <c r="C70" t="s">
        <v>110</v>
      </c>
      <c r="D70" t="s">
        <v>111</v>
      </c>
      <c r="E70">
        <v>189189</v>
      </c>
      <c r="H70" s="7" t="s">
        <v>108</v>
      </c>
      <c r="I70" s="8">
        <v>110782</v>
      </c>
      <c r="J70" s="8">
        <v>70823</v>
      </c>
    </row>
    <row r="71" spans="2:10" x14ac:dyDescent="0.35">
      <c r="B71" t="s">
        <v>75</v>
      </c>
      <c r="C71" t="s">
        <v>112</v>
      </c>
      <c r="D71" t="s">
        <v>111</v>
      </c>
      <c r="E71">
        <v>120956</v>
      </c>
      <c r="H71" s="3" t="s">
        <v>109</v>
      </c>
      <c r="I71" s="4">
        <v>287224</v>
      </c>
      <c r="J71" s="4">
        <v>183631</v>
      </c>
    </row>
    <row r="72" spans="2:10" x14ac:dyDescent="0.35">
      <c r="B72" t="s">
        <v>76</v>
      </c>
      <c r="C72" t="s">
        <v>110</v>
      </c>
      <c r="D72" t="s">
        <v>111</v>
      </c>
      <c r="E72">
        <v>383971</v>
      </c>
      <c r="H72" s="3" t="s">
        <v>118</v>
      </c>
      <c r="I72" s="4">
        <v>17225259</v>
      </c>
      <c r="J72" s="4">
        <v>11012859</v>
      </c>
    </row>
    <row r="73" spans="2:10" x14ac:dyDescent="0.35">
      <c r="B73" t="s">
        <v>76</v>
      </c>
      <c r="C73" t="s">
        <v>112</v>
      </c>
      <c r="D73" t="s">
        <v>111</v>
      </c>
      <c r="E73">
        <v>245492</v>
      </c>
    </row>
    <row r="74" spans="2:10" x14ac:dyDescent="0.35">
      <c r="B74" t="s">
        <v>77</v>
      </c>
      <c r="C74" t="s">
        <v>110</v>
      </c>
      <c r="D74" t="s">
        <v>111</v>
      </c>
      <c r="E74">
        <v>43675</v>
      </c>
    </row>
    <row r="75" spans="2:10" x14ac:dyDescent="0.35">
      <c r="B75" t="s">
        <v>77</v>
      </c>
      <c r="C75" t="s">
        <v>112</v>
      </c>
      <c r="D75" t="s">
        <v>111</v>
      </c>
      <c r="E75">
        <v>27924</v>
      </c>
    </row>
    <row r="76" spans="2:10" x14ac:dyDescent="0.35">
      <c r="B76" t="s">
        <v>78</v>
      </c>
      <c r="C76" t="s">
        <v>110</v>
      </c>
      <c r="D76" t="s">
        <v>111</v>
      </c>
      <c r="E76">
        <v>367667</v>
      </c>
    </row>
    <row r="77" spans="2:10" x14ac:dyDescent="0.35">
      <c r="B77" t="s">
        <v>78</v>
      </c>
      <c r="C77" t="s">
        <v>112</v>
      </c>
      <c r="D77" t="s">
        <v>111</v>
      </c>
      <c r="E77">
        <v>235069</v>
      </c>
    </row>
    <row r="78" spans="2:10" x14ac:dyDescent="0.35">
      <c r="B78" t="s">
        <v>79</v>
      </c>
      <c r="C78" t="s">
        <v>110</v>
      </c>
      <c r="D78" t="s">
        <v>111</v>
      </c>
      <c r="E78">
        <v>71064</v>
      </c>
    </row>
    <row r="79" spans="2:10" x14ac:dyDescent="0.35">
      <c r="B79" t="s">
        <v>79</v>
      </c>
      <c r="C79" t="s">
        <v>112</v>
      </c>
      <c r="D79" t="s">
        <v>111</v>
      </c>
      <c r="E79">
        <v>45434</v>
      </c>
    </row>
    <row r="80" spans="2:10" x14ac:dyDescent="0.35">
      <c r="B80" t="s">
        <v>80</v>
      </c>
      <c r="C80" t="s">
        <v>110</v>
      </c>
      <c r="D80" t="s">
        <v>111</v>
      </c>
      <c r="E80">
        <v>221208</v>
      </c>
    </row>
    <row r="81" spans="2:5" x14ac:dyDescent="0.35">
      <c r="B81" t="s">
        <v>80</v>
      </c>
      <c r="C81" t="s">
        <v>112</v>
      </c>
      <c r="D81" t="s">
        <v>111</v>
      </c>
      <c r="E81">
        <v>141427</v>
      </c>
    </row>
    <row r="82" spans="2:5" x14ac:dyDescent="0.35">
      <c r="B82" t="s">
        <v>81</v>
      </c>
      <c r="C82" t="s">
        <v>110</v>
      </c>
      <c r="D82" t="s">
        <v>111</v>
      </c>
      <c r="E82">
        <v>32831</v>
      </c>
    </row>
    <row r="83" spans="2:5" x14ac:dyDescent="0.35">
      <c r="B83" t="s">
        <v>81</v>
      </c>
      <c r="C83" t="s">
        <v>112</v>
      </c>
      <c r="D83" t="s">
        <v>111</v>
      </c>
      <c r="E83">
        <v>20990</v>
      </c>
    </row>
    <row r="84" spans="2:5" x14ac:dyDescent="0.35">
      <c r="B84" t="s">
        <v>82</v>
      </c>
      <c r="C84" t="s">
        <v>110</v>
      </c>
      <c r="D84" t="s">
        <v>111</v>
      </c>
      <c r="E84">
        <v>351390</v>
      </c>
    </row>
    <row r="85" spans="2:5" x14ac:dyDescent="0.35">
      <c r="B85" t="s">
        <v>82</v>
      </c>
      <c r="C85" t="s">
        <v>112</v>
      </c>
      <c r="D85" t="s">
        <v>111</v>
      </c>
      <c r="E85">
        <v>224658</v>
      </c>
    </row>
    <row r="86" spans="2:5" x14ac:dyDescent="0.35">
      <c r="B86" t="s">
        <v>83</v>
      </c>
      <c r="C86" t="s">
        <v>110</v>
      </c>
      <c r="D86" t="s">
        <v>111</v>
      </c>
      <c r="E86">
        <v>599343</v>
      </c>
    </row>
    <row r="87" spans="2:5" x14ac:dyDescent="0.35">
      <c r="B87" t="s">
        <v>83</v>
      </c>
      <c r="C87" t="s">
        <v>112</v>
      </c>
      <c r="D87" t="s">
        <v>111</v>
      </c>
      <c r="E87">
        <v>383190</v>
      </c>
    </row>
    <row r="88" spans="2:5" x14ac:dyDescent="0.35">
      <c r="B88" t="s">
        <v>84</v>
      </c>
      <c r="C88" t="s">
        <v>110</v>
      </c>
      <c r="D88" t="s">
        <v>111</v>
      </c>
      <c r="E88">
        <v>208322</v>
      </c>
    </row>
    <row r="89" spans="2:5" x14ac:dyDescent="0.35">
      <c r="B89" t="s">
        <v>84</v>
      </c>
      <c r="C89" t="s">
        <v>112</v>
      </c>
      <c r="D89" t="s">
        <v>111</v>
      </c>
      <c r="E89">
        <v>133190</v>
      </c>
    </row>
    <row r="90" spans="2:5" x14ac:dyDescent="0.35">
      <c r="B90" t="s">
        <v>85</v>
      </c>
      <c r="C90" t="s">
        <v>110</v>
      </c>
      <c r="D90" t="s">
        <v>111</v>
      </c>
      <c r="E90">
        <v>96289</v>
      </c>
    </row>
    <row r="91" spans="2:5" x14ac:dyDescent="0.35">
      <c r="B91" t="s">
        <v>85</v>
      </c>
      <c r="C91" t="s">
        <v>112</v>
      </c>
      <c r="D91" t="s">
        <v>111</v>
      </c>
      <c r="E91">
        <v>61562</v>
      </c>
    </row>
    <row r="92" spans="2:5" x14ac:dyDescent="0.35">
      <c r="B92" t="s">
        <v>86</v>
      </c>
      <c r="C92" t="s">
        <v>110</v>
      </c>
      <c r="D92" t="s">
        <v>111</v>
      </c>
      <c r="E92">
        <v>517899</v>
      </c>
    </row>
    <row r="93" spans="2:5" x14ac:dyDescent="0.35">
      <c r="B93" t="s">
        <v>86</v>
      </c>
      <c r="C93" t="s">
        <v>112</v>
      </c>
      <c r="D93" t="s">
        <v>111</v>
      </c>
      <c r="E93">
        <v>331118</v>
      </c>
    </row>
    <row r="94" spans="2:5" x14ac:dyDescent="0.35">
      <c r="B94" t="s">
        <v>87</v>
      </c>
      <c r="C94" t="s">
        <v>110</v>
      </c>
      <c r="D94" t="s">
        <v>111</v>
      </c>
      <c r="E94">
        <v>68178</v>
      </c>
    </row>
    <row r="95" spans="2:5" x14ac:dyDescent="0.35">
      <c r="B95" t="s">
        <v>87</v>
      </c>
      <c r="C95" t="s">
        <v>112</v>
      </c>
      <c r="D95" t="s">
        <v>111</v>
      </c>
      <c r="E95">
        <v>43589</v>
      </c>
    </row>
    <row r="96" spans="2:5" x14ac:dyDescent="0.35">
      <c r="B96" t="s">
        <v>88</v>
      </c>
      <c r="C96" t="s">
        <v>110</v>
      </c>
      <c r="D96" t="s">
        <v>111</v>
      </c>
      <c r="E96">
        <v>145927</v>
      </c>
    </row>
    <row r="97" spans="2:5" x14ac:dyDescent="0.35">
      <c r="B97" t="s">
        <v>88</v>
      </c>
      <c r="C97" t="s">
        <v>112</v>
      </c>
      <c r="D97" t="s">
        <v>111</v>
      </c>
      <c r="E97">
        <v>93297</v>
      </c>
    </row>
    <row r="98" spans="2:5" x14ac:dyDescent="0.35">
      <c r="B98" t="s">
        <v>89</v>
      </c>
      <c r="C98" t="s">
        <v>110</v>
      </c>
      <c r="D98" t="s">
        <v>111</v>
      </c>
      <c r="E98">
        <v>107989</v>
      </c>
    </row>
    <row r="99" spans="2:5" x14ac:dyDescent="0.35">
      <c r="B99" t="s">
        <v>89</v>
      </c>
      <c r="C99" t="s">
        <v>112</v>
      </c>
      <c r="D99" t="s">
        <v>111</v>
      </c>
      <c r="E99">
        <v>69045</v>
      </c>
    </row>
    <row r="100" spans="2:5" x14ac:dyDescent="0.35">
      <c r="B100" t="s">
        <v>90</v>
      </c>
      <c r="C100" t="s">
        <v>110</v>
      </c>
      <c r="D100" t="s">
        <v>111</v>
      </c>
      <c r="E100">
        <v>656572</v>
      </c>
    </row>
    <row r="101" spans="2:5" x14ac:dyDescent="0.35">
      <c r="B101" t="s">
        <v>90</v>
      </c>
      <c r="C101" t="s">
        <v>112</v>
      </c>
      <c r="D101" t="s">
        <v>111</v>
      </c>
      <c r="E101">
        <v>419770</v>
      </c>
    </row>
    <row r="102" spans="2:5" x14ac:dyDescent="0.35">
      <c r="B102" t="s">
        <v>91</v>
      </c>
      <c r="C102" t="s">
        <v>110</v>
      </c>
      <c r="D102" t="s">
        <v>111</v>
      </c>
      <c r="E102">
        <v>233365</v>
      </c>
    </row>
    <row r="103" spans="2:5" x14ac:dyDescent="0.35">
      <c r="B103" t="s">
        <v>91</v>
      </c>
      <c r="C103" t="s">
        <v>112</v>
      </c>
      <c r="D103" t="s">
        <v>111</v>
      </c>
      <c r="E103">
        <v>149194</v>
      </c>
    </row>
    <row r="104" spans="2:5" x14ac:dyDescent="0.35">
      <c r="B104" t="s">
        <v>92</v>
      </c>
      <c r="C104" t="s">
        <v>110</v>
      </c>
      <c r="D104" t="s">
        <v>111</v>
      </c>
      <c r="E104">
        <v>150132</v>
      </c>
    </row>
    <row r="105" spans="2:5" x14ac:dyDescent="0.35">
      <c r="B105" t="s">
        <v>92</v>
      </c>
      <c r="C105" t="s">
        <v>112</v>
      </c>
      <c r="D105" t="s">
        <v>111</v>
      </c>
      <c r="E105">
        <v>95987</v>
      </c>
    </row>
    <row r="106" spans="2:5" x14ac:dyDescent="0.35">
      <c r="B106" t="s">
        <v>93</v>
      </c>
      <c r="C106" t="s">
        <v>110</v>
      </c>
      <c r="D106" t="s">
        <v>111</v>
      </c>
      <c r="E106">
        <v>0</v>
      </c>
    </row>
    <row r="107" spans="2:5" x14ac:dyDescent="0.35">
      <c r="B107" t="s">
        <v>93</v>
      </c>
      <c r="C107" t="s">
        <v>112</v>
      </c>
      <c r="D107" t="s">
        <v>111</v>
      </c>
      <c r="E107">
        <v>0</v>
      </c>
    </row>
    <row r="108" spans="2:5" x14ac:dyDescent="0.35">
      <c r="B108" t="s">
        <v>94</v>
      </c>
      <c r="C108" t="s">
        <v>110</v>
      </c>
      <c r="D108" t="s">
        <v>111</v>
      </c>
      <c r="E108">
        <v>329783</v>
      </c>
    </row>
    <row r="109" spans="2:5" x14ac:dyDescent="0.35">
      <c r="B109" t="s">
        <v>94</v>
      </c>
      <c r="C109" t="s">
        <v>112</v>
      </c>
      <c r="D109" t="s">
        <v>111</v>
      </c>
      <c r="E109">
        <v>210847</v>
      </c>
    </row>
    <row r="110" spans="2:5" x14ac:dyDescent="0.35">
      <c r="B110" t="s">
        <v>95</v>
      </c>
      <c r="C110" t="s">
        <v>110</v>
      </c>
      <c r="D110" t="s">
        <v>111</v>
      </c>
      <c r="E110">
        <v>410158</v>
      </c>
    </row>
    <row r="111" spans="2:5" x14ac:dyDescent="0.35">
      <c r="B111" t="s">
        <v>95</v>
      </c>
      <c r="C111" t="s">
        <v>112</v>
      </c>
      <c r="D111" t="s">
        <v>111</v>
      </c>
      <c r="E111">
        <v>262229</v>
      </c>
    </row>
    <row r="112" spans="2:5" x14ac:dyDescent="0.35">
      <c r="B112" t="s">
        <v>96</v>
      </c>
      <c r="C112" t="s">
        <v>110</v>
      </c>
      <c r="D112" t="s">
        <v>111</v>
      </c>
      <c r="E112">
        <v>445952</v>
      </c>
    </row>
    <row r="113" spans="2:5" x14ac:dyDescent="0.35">
      <c r="B113" t="s">
        <v>96</v>
      </c>
      <c r="C113" t="s">
        <v>112</v>
      </c>
      <c r="D113" t="s">
        <v>111</v>
      </c>
      <c r="E113">
        <v>285114</v>
      </c>
    </row>
    <row r="114" spans="2:5" x14ac:dyDescent="0.35">
      <c r="B114" t="s">
        <v>97</v>
      </c>
      <c r="C114" t="s">
        <v>110</v>
      </c>
      <c r="D114" t="s">
        <v>111</v>
      </c>
      <c r="E114">
        <v>116027</v>
      </c>
    </row>
    <row r="115" spans="2:5" x14ac:dyDescent="0.35">
      <c r="B115" t="s">
        <v>97</v>
      </c>
      <c r="C115" t="s">
        <v>112</v>
      </c>
      <c r="D115" t="s">
        <v>111</v>
      </c>
      <c r="E115">
        <v>74183</v>
      </c>
    </row>
    <row r="116" spans="2:5" x14ac:dyDescent="0.35">
      <c r="B116" t="s">
        <v>98</v>
      </c>
      <c r="C116" t="s">
        <v>110</v>
      </c>
      <c r="D116" t="s">
        <v>111</v>
      </c>
      <c r="E116">
        <v>293081</v>
      </c>
    </row>
    <row r="117" spans="2:5" x14ac:dyDescent="0.35">
      <c r="B117" t="s">
        <v>98</v>
      </c>
      <c r="C117" t="s">
        <v>112</v>
      </c>
      <c r="D117" t="s">
        <v>111</v>
      </c>
      <c r="E117">
        <v>187380</v>
      </c>
    </row>
    <row r="118" spans="2:5" x14ac:dyDescent="0.35">
      <c r="B118" t="s">
        <v>99</v>
      </c>
      <c r="C118" t="s">
        <v>110</v>
      </c>
      <c r="D118" t="s">
        <v>111</v>
      </c>
      <c r="E118">
        <v>111950</v>
      </c>
    </row>
    <row r="119" spans="2:5" x14ac:dyDescent="0.35">
      <c r="B119" t="s">
        <v>99</v>
      </c>
      <c r="C119" t="s">
        <v>112</v>
      </c>
      <c r="D119" t="s">
        <v>111</v>
      </c>
      <c r="E119">
        <v>71576</v>
      </c>
    </row>
    <row r="120" spans="2:5" x14ac:dyDescent="0.35">
      <c r="B120" t="s">
        <v>100</v>
      </c>
      <c r="C120" t="s">
        <v>110</v>
      </c>
      <c r="D120" t="s">
        <v>111</v>
      </c>
      <c r="E120">
        <v>92858</v>
      </c>
    </row>
    <row r="121" spans="2:5" x14ac:dyDescent="0.35">
      <c r="B121" t="s">
        <v>100</v>
      </c>
      <c r="C121" t="s">
        <v>112</v>
      </c>
      <c r="D121" t="s">
        <v>111</v>
      </c>
      <c r="E121">
        <v>59365</v>
      </c>
    </row>
    <row r="122" spans="2:5" x14ac:dyDescent="0.35">
      <c r="B122" t="s">
        <v>101</v>
      </c>
      <c r="C122" t="s">
        <v>110</v>
      </c>
      <c r="D122" t="s">
        <v>111</v>
      </c>
      <c r="E122">
        <v>113099</v>
      </c>
    </row>
    <row r="123" spans="2:5" x14ac:dyDescent="0.35">
      <c r="B123" t="s">
        <v>101</v>
      </c>
      <c r="C123" t="s">
        <v>112</v>
      </c>
      <c r="D123" t="s">
        <v>111</v>
      </c>
      <c r="E123">
        <v>72307</v>
      </c>
    </row>
    <row r="124" spans="2:5" x14ac:dyDescent="0.35">
      <c r="B124" t="s">
        <v>102</v>
      </c>
      <c r="C124" t="s">
        <v>110</v>
      </c>
      <c r="D124" t="s">
        <v>111</v>
      </c>
      <c r="E124">
        <v>290992</v>
      </c>
    </row>
    <row r="125" spans="2:5" x14ac:dyDescent="0.35">
      <c r="B125" t="s">
        <v>102</v>
      </c>
      <c r="C125" t="s">
        <v>112</v>
      </c>
      <c r="D125" t="s">
        <v>111</v>
      </c>
      <c r="E125">
        <v>186043</v>
      </c>
    </row>
    <row r="126" spans="2:5" x14ac:dyDescent="0.35">
      <c r="B126" t="s">
        <v>103</v>
      </c>
      <c r="C126" t="s">
        <v>110</v>
      </c>
      <c r="D126" t="s">
        <v>111</v>
      </c>
      <c r="E126">
        <v>258813</v>
      </c>
    </row>
    <row r="127" spans="2:5" x14ac:dyDescent="0.35">
      <c r="B127" t="s">
        <v>103</v>
      </c>
      <c r="C127" t="s">
        <v>112</v>
      </c>
      <c r="D127" t="s">
        <v>111</v>
      </c>
      <c r="E127">
        <v>165472</v>
      </c>
    </row>
    <row r="128" spans="2:5" x14ac:dyDescent="0.35">
      <c r="B128" t="s">
        <v>104</v>
      </c>
      <c r="C128" t="s">
        <v>110</v>
      </c>
      <c r="D128" t="s">
        <v>111</v>
      </c>
      <c r="E128">
        <v>364017</v>
      </c>
    </row>
    <row r="129" spans="2:5" x14ac:dyDescent="0.35">
      <c r="B129" t="s">
        <v>104</v>
      </c>
      <c r="C129" t="s">
        <v>112</v>
      </c>
      <c r="D129" t="s">
        <v>111</v>
      </c>
      <c r="E129">
        <v>232731</v>
      </c>
    </row>
    <row r="130" spans="2:5" x14ac:dyDescent="0.35">
      <c r="B130" t="s">
        <v>105</v>
      </c>
      <c r="C130" t="s">
        <v>110</v>
      </c>
      <c r="D130" t="s">
        <v>111</v>
      </c>
      <c r="E130">
        <v>225939</v>
      </c>
    </row>
    <row r="131" spans="2:5" x14ac:dyDescent="0.35">
      <c r="B131" t="s">
        <v>105</v>
      </c>
      <c r="C131" t="s">
        <v>112</v>
      </c>
      <c r="D131" t="s">
        <v>111</v>
      </c>
      <c r="E131">
        <v>144453</v>
      </c>
    </row>
    <row r="132" spans="2:5" x14ac:dyDescent="0.35">
      <c r="B132" t="s">
        <v>106</v>
      </c>
      <c r="C132" t="s">
        <v>110</v>
      </c>
      <c r="D132" t="s">
        <v>111</v>
      </c>
      <c r="E132">
        <v>477429</v>
      </c>
    </row>
    <row r="133" spans="2:5" x14ac:dyDescent="0.35">
      <c r="B133" t="s">
        <v>106</v>
      </c>
      <c r="C133" t="s">
        <v>112</v>
      </c>
      <c r="D133" t="s">
        <v>111</v>
      </c>
      <c r="E133">
        <v>305237</v>
      </c>
    </row>
    <row r="134" spans="2:5" x14ac:dyDescent="0.35">
      <c r="B134" t="s">
        <v>107</v>
      </c>
      <c r="C134" t="s">
        <v>110</v>
      </c>
      <c r="D134" t="s">
        <v>111</v>
      </c>
      <c r="E134">
        <v>409702</v>
      </c>
    </row>
    <row r="135" spans="2:5" x14ac:dyDescent="0.35">
      <c r="B135" t="s">
        <v>107</v>
      </c>
      <c r="C135" t="s">
        <v>112</v>
      </c>
      <c r="D135" t="s">
        <v>111</v>
      </c>
      <c r="E135">
        <v>261943</v>
      </c>
    </row>
    <row r="136" spans="2:5" x14ac:dyDescent="0.35">
      <c r="B136" t="s">
        <v>108</v>
      </c>
      <c r="C136" t="s">
        <v>110</v>
      </c>
      <c r="D136" t="s">
        <v>111</v>
      </c>
      <c r="E136">
        <v>110782</v>
      </c>
    </row>
    <row r="137" spans="2:5" x14ac:dyDescent="0.35">
      <c r="B137" t="s">
        <v>108</v>
      </c>
      <c r="C137" t="s">
        <v>112</v>
      </c>
      <c r="D137" t="s">
        <v>111</v>
      </c>
      <c r="E137">
        <v>70823</v>
      </c>
    </row>
    <row r="138" spans="2:5" x14ac:dyDescent="0.35">
      <c r="B138" t="s">
        <v>109</v>
      </c>
      <c r="C138" t="s">
        <v>110</v>
      </c>
      <c r="D138" t="s">
        <v>111</v>
      </c>
      <c r="E138">
        <v>287224</v>
      </c>
    </row>
    <row r="139" spans="2:5" x14ac:dyDescent="0.35">
      <c r="B139" t="s">
        <v>109</v>
      </c>
      <c r="C139" t="s">
        <v>112</v>
      </c>
      <c r="D139" t="s">
        <v>111</v>
      </c>
      <c r="E139">
        <v>183631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4D4095-39D0-4BF0-97C2-04D764A63DAD}">
  <dimension ref="C4:I22"/>
  <sheetViews>
    <sheetView workbookViewId="0">
      <selection activeCell="D19" sqref="D19:H20"/>
    </sheetView>
  </sheetViews>
  <sheetFormatPr defaultRowHeight="14.5" x14ac:dyDescent="0.35"/>
  <cols>
    <col min="3" max="3" width="24.54296875" customWidth="1"/>
  </cols>
  <sheetData>
    <row r="4" spans="3:9" x14ac:dyDescent="0.35">
      <c r="C4" s="56" t="s">
        <v>486</v>
      </c>
      <c r="D4" s="57" t="s">
        <v>487</v>
      </c>
      <c r="E4" s="57"/>
      <c r="F4" s="57" t="s">
        <v>488</v>
      </c>
      <c r="G4" s="57"/>
      <c r="H4" s="57"/>
      <c r="I4" s="40" t="s">
        <v>489</v>
      </c>
    </row>
    <row r="5" spans="3:9" x14ac:dyDescent="0.35">
      <c r="C5" s="56"/>
      <c r="D5" s="41" t="s">
        <v>490</v>
      </c>
      <c r="E5" s="41" t="s">
        <v>491</v>
      </c>
      <c r="F5" s="41" t="s">
        <v>492</v>
      </c>
      <c r="G5" s="41" t="s">
        <v>493</v>
      </c>
      <c r="H5" s="41" t="s">
        <v>494</v>
      </c>
      <c r="I5" s="41" t="s">
        <v>495</v>
      </c>
    </row>
    <row r="6" spans="3:9" x14ac:dyDescent="0.35">
      <c r="C6" s="40" t="s">
        <v>496</v>
      </c>
      <c r="D6" s="41">
        <v>427.5</v>
      </c>
      <c r="E6" s="41">
        <v>427.5</v>
      </c>
      <c r="F6" s="41">
        <v>458</v>
      </c>
      <c r="G6" s="41">
        <v>458</v>
      </c>
      <c r="H6" s="41">
        <v>458</v>
      </c>
      <c r="I6" s="41" t="s">
        <v>4</v>
      </c>
    </row>
    <row r="7" spans="3:9" x14ac:dyDescent="0.35">
      <c r="C7" s="42" t="s">
        <v>497</v>
      </c>
      <c r="D7" s="43"/>
      <c r="E7" s="43"/>
      <c r="F7" s="43"/>
      <c r="G7" s="43"/>
      <c r="H7" s="43"/>
      <c r="I7" s="43"/>
    </row>
    <row r="8" spans="3:9" x14ac:dyDescent="0.35">
      <c r="C8" s="40" t="s">
        <v>498</v>
      </c>
      <c r="D8" s="44">
        <v>106342.6</v>
      </c>
      <c r="E8" s="44">
        <v>108342.39999999999</v>
      </c>
      <c r="F8" s="44">
        <v>91028.800000000003</v>
      </c>
      <c r="G8" s="44">
        <v>88072.8</v>
      </c>
      <c r="H8" s="44">
        <v>84267.9</v>
      </c>
      <c r="I8" s="44">
        <v>0</v>
      </c>
    </row>
    <row r="9" spans="3:9" x14ac:dyDescent="0.35">
      <c r="C9" s="40" t="s">
        <v>499</v>
      </c>
      <c r="D9" s="44">
        <v>188479.4</v>
      </c>
      <c r="E9" s="44">
        <v>193125.5</v>
      </c>
      <c r="F9" s="44">
        <v>214778</v>
      </c>
      <c r="G9" s="44">
        <v>210235.9</v>
      </c>
      <c r="H9" s="44">
        <v>201164.4</v>
      </c>
      <c r="I9" s="44">
        <v>13867.3</v>
      </c>
    </row>
    <row r="10" spans="3:9" x14ac:dyDescent="0.35">
      <c r="C10" s="40" t="s">
        <v>500</v>
      </c>
      <c r="D10" s="44">
        <v>94.61</v>
      </c>
      <c r="E10" s="44">
        <v>94.56</v>
      </c>
      <c r="F10" s="44">
        <v>89.05</v>
      </c>
      <c r="G10" s="44">
        <v>87.78</v>
      </c>
      <c r="H10" s="44">
        <v>87.1</v>
      </c>
      <c r="I10" s="44">
        <v>0.85</v>
      </c>
    </row>
    <row r="11" spans="3:9" x14ac:dyDescent="0.35">
      <c r="C11" s="40" t="s">
        <v>501</v>
      </c>
      <c r="D11" s="44">
        <v>12.417999999999999</v>
      </c>
      <c r="E11" s="44">
        <v>12.411</v>
      </c>
      <c r="F11" s="44">
        <v>11.688000000000001</v>
      </c>
      <c r="G11" s="44">
        <v>11.521000000000001</v>
      </c>
      <c r="H11" s="44">
        <v>11.432</v>
      </c>
      <c r="I11" s="44">
        <v>0.16800000000000001</v>
      </c>
    </row>
    <row r="12" spans="3:9" x14ac:dyDescent="0.35">
      <c r="C12" s="42" t="s">
        <v>502</v>
      </c>
      <c r="D12" s="43"/>
      <c r="E12" s="43"/>
      <c r="F12" s="43"/>
      <c r="G12" s="43"/>
      <c r="H12" s="43"/>
      <c r="I12" s="43"/>
    </row>
    <row r="13" spans="3:9" x14ac:dyDescent="0.35">
      <c r="C13" s="40" t="s">
        <v>499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</row>
    <row r="14" spans="3:9" x14ac:dyDescent="0.35">
      <c r="C14" s="40" t="s">
        <v>498</v>
      </c>
      <c r="D14" s="44">
        <v>358.8</v>
      </c>
      <c r="E14" s="44">
        <v>358.8</v>
      </c>
      <c r="F14" s="44">
        <v>1155.3</v>
      </c>
      <c r="G14" s="44">
        <v>1155.3</v>
      </c>
      <c r="H14" s="44">
        <v>1155.3</v>
      </c>
      <c r="I14" s="44">
        <v>7738.4</v>
      </c>
    </row>
    <row r="15" spans="3:9" x14ac:dyDescent="0.35">
      <c r="C15" s="40" t="s">
        <v>500</v>
      </c>
      <c r="D15" s="44">
        <v>0.01</v>
      </c>
      <c r="E15" s="44">
        <v>0.01</v>
      </c>
      <c r="F15" s="44">
        <v>0.02</v>
      </c>
      <c r="G15" s="44">
        <v>0.02</v>
      </c>
      <c r="H15" s="44">
        <v>0.02</v>
      </c>
      <c r="I15" s="44">
        <v>0.15</v>
      </c>
    </row>
    <row r="16" spans="3:9" x14ac:dyDescent="0.35">
      <c r="C16" s="40" t="s">
        <v>501</v>
      </c>
      <c r="D16" s="44">
        <v>1E-3</v>
      </c>
      <c r="E16" s="44">
        <v>1E-3</v>
      </c>
      <c r="F16" s="44">
        <v>2E-3</v>
      </c>
      <c r="G16" s="44">
        <v>2E-3</v>
      </c>
      <c r="H16" s="44">
        <v>2E-3</v>
      </c>
      <c r="I16" s="44">
        <v>1.4999999999999999E-2</v>
      </c>
    </row>
    <row r="18" spans="3:8" ht="27" thickBot="1" x14ac:dyDescent="0.4">
      <c r="D18" s="23" t="s">
        <v>299</v>
      </c>
      <c r="E18" s="23" t="s">
        <v>39</v>
      </c>
      <c r="F18" s="23" t="s">
        <v>36</v>
      </c>
      <c r="G18" s="23" t="s">
        <v>37</v>
      </c>
      <c r="H18" s="23" t="s">
        <v>38</v>
      </c>
    </row>
    <row r="19" spans="3:8" x14ac:dyDescent="0.35">
      <c r="C19" t="str">
        <f>D4</f>
        <v>WPB #1 (RDF)</v>
      </c>
      <c r="D19">
        <f>SUM(E19:G19)</f>
        <v>227531.98799999998</v>
      </c>
      <c r="E19">
        <f>SUM(D8:E8,D14:E14)</f>
        <v>215402.59999999998</v>
      </c>
      <c r="F19">
        <f>SUM(D10:E10,D15:E15)*25</f>
        <v>4729.75</v>
      </c>
      <c r="G19">
        <f>SUM(D11:E11,D16:E16)*298</f>
        <v>7399.6380000000008</v>
      </c>
      <c r="H19">
        <f>SUM(D9:E9,D13:E13)</f>
        <v>381604.9</v>
      </c>
    </row>
    <row r="20" spans="3:8" x14ac:dyDescent="0.35">
      <c r="C20" t="str">
        <f>F4</f>
        <v>WPB #2 (Mass Burn)</v>
      </c>
      <c r="D20">
        <f>SUM(E20:G20)</f>
        <v>283759.95599999995</v>
      </c>
      <c r="E20">
        <f>SUM(F8:H8,F14:H14)</f>
        <v>266835.39999999997</v>
      </c>
      <c r="F20">
        <f>SUM(F10:H10,F15:H15)*25</f>
        <v>6599.7499999999973</v>
      </c>
      <c r="G20">
        <f>SUM(F11:H11,F16:H16)*298</f>
        <v>10324.806000000004</v>
      </c>
      <c r="H20">
        <f>SUM(F9:H9,F13:H13)</f>
        <v>626178.30000000005</v>
      </c>
    </row>
    <row r="22" spans="3:8" x14ac:dyDescent="0.35">
      <c r="D22">
        <f>SUM(D19:D20)</f>
        <v>511291.9439999999</v>
      </c>
      <c r="E22">
        <f t="shared" ref="E22:H22" si="0">SUM(E19:E20)</f>
        <v>482237.99999999994</v>
      </c>
      <c r="F22">
        <f t="shared" si="0"/>
        <v>11329.499999999996</v>
      </c>
      <c r="G22">
        <f t="shared" si="0"/>
        <v>17724.444000000003</v>
      </c>
      <c r="H22">
        <f t="shared" si="0"/>
        <v>1007783.2000000001</v>
      </c>
    </row>
  </sheetData>
  <mergeCells count="3">
    <mergeCell ref="C4:C5"/>
    <mergeCell ref="D4:E4"/>
    <mergeCell ref="F4:H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F94DCC8F80F340A6AA1A3DE37AFB8C" ma:contentTypeVersion="20" ma:contentTypeDescription="Create a new document." ma:contentTypeScope="" ma:versionID="cd831d24fc6aff0e0f0bff8fa627a19b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7d8dd676-26ca-4e08-b90f-b4e0026a58ac" xmlns:ns6="e2db8e0c-79fa-41cf-8048-8071db417650" targetNamespace="http://schemas.microsoft.com/office/2006/metadata/properties" ma:root="true" ma:fieldsID="46e3f3bf8992ed0eb8ff1f8a231a86d3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7d8dd676-26ca-4e08-b90f-b4e0026a58ac"/>
    <xsd:import namespace="e2db8e0c-79fa-41cf-8048-8071db417650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2:e3f09c3df709400db2417a7161762d62" minOccurs="0"/>
                <xsd:element ref="ns5:SharedWithUsers" minOccurs="0"/>
                <xsd:element ref="ns5:SharedWithDetails" minOccurs="0"/>
                <xsd:element ref="ns6:MediaServiceMetadata" minOccurs="0"/>
                <xsd:element ref="ns6:MediaServiceFastMetadata" minOccurs="0"/>
                <xsd:element ref="ns6:MediaServiceAutoTags" minOccurs="0"/>
                <xsd:element ref="ns6:MediaServiceOCR" minOccurs="0"/>
                <xsd:element ref="ns6:MediaServiceDateTaken" minOccurs="0"/>
                <xsd:element ref="ns6:MediaServiceEventHashCode" minOccurs="0"/>
                <xsd:element ref="ns6:MediaServiceGenerationTime" minOccurs="0"/>
                <xsd:element ref="ns6:MediaServiceAutoKeyPoints" minOccurs="0"/>
                <xsd:element ref="ns6:MediaServiceKeyPoints" minOccurs="0"/>
                <xsd:element ref="ns6:MediaServiceLocation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41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2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 ma:readOnly="false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description="" ma:hidden="true" ma:list="{aec54597-794d-48fd-aaaa-4eaa50f4ff1d}" ma:internalName="TaxCatchAllLabel" ma:readOnly="true" ma:showField="CatchAllDataLabel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description="" ma:hidden="true" ma:list="{aec54597-794d-48fd-aaaa-4eaa50f4ff1d}" ma:internalName="TaxCatchAll" ma:showField="CatchAllData" ma:web="7d8dd676-26ca-4e08-b90f-b4e0026a58a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e3f09c3df709400db2417a7161762d62" ma:index="28" nillable="true" ma:taxonomy="true" ma:internalName="e3f09c3df709400db2417a7161762d62" ma:taxonomyFieldName="EPA_x0020_Subject" ma:displayName="EPA Subject" ma:readOnly="false" ma:default="" ma:fieldId="{e3f09c3d-f709-400d-b241-7a7161762d62}" ma:taxonomyMulti="true" ma:sspId="29f62856-1543-49d4-a736-4569d363f533" ma:termSetId="7a3d4ae0-7e62-45a2-a406-c6a8a6a8eee3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8dd676-26ca-4e08-b90f-b4e0026a58ac" elementFormDefault="qualified">
    <xsd:import namespace="http://schemas.microsoft.com/office/2006/documentManagement/types"/>
    <xsd:import namespace="http://schemas.microsoft.com/office/infopath/2007/PartnerControls"/>
    <xsd:element name="SharedWithUsers" ma:index="29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0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b8e0c-79fa-41cf-8048-8071db41765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3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33" nillable="true" ma:displayName="MediaServiceAutoTags" ma:internalName="MediaServiceAutoTags" ma:readOnly="true">
      <xsd:simpleType>
        <xsd:restriction base="dms:Text"/>
      </xsd:simpleType>
    </xsd:element>
    <xsd:element name="MediaServiceOCR" ma:index="3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3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3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3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3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40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3f09c3df709400db2417a7161762d62 xmlns="4ffa91fb-a0ff-4ac5-b2db-65c790d184a4">
      <Terms xmlns="http://schemas.microsoft.com/office/infopath/2007/PartnerControls"/>
    </e3f09c3df709400db2417a7161762d62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2022-02-25T16:21:24+00:00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4.xml><?xml version="1.0" encoding="utf-8"?>
<?mso-contentType ?>
<SharedContentType xmlns="Microsoft.SharePoint.Taxonomy.ContentTypeSync" SourceId="29f62856-1543-49d4-a736-4569d363f533" ContentTypeId="0x0101" PreviousValue="false"/>
</file>

<file path=customXml/itemProps1.xml><?xml version="1.0" encoding="utf-8"?>
<ds:datastoreItem xmlns:ds="http://schemas.openxmlformats.org/officeDocument/2006/customXml" ds:itemID="{CDE5DB82-1E51-4756-8B33-9F35554B7A68}"/>
</file>

<file path=customXml/itemProps2.xml><?xml version="1.0" encoding="utf-8"?>
<ds:datastoreItem xmlns:ds="http://schemas.openxmlformats.org/officeDocument/2006/customXml" ds:itemID="{83C1D444-DB23-4CBA-910E-F4B19139B15F}"/>
</file>

<file path=customXml/itemProps3.xml><?xml version="1.0" encoding="utf-8"?>
<ds:datastoreItem xmlns:ds="http://schemas.openxmlformats.org/officeDocument/2006/customXml" ds:itemID="{0A45E9D8-1BBF-4537-AF53-5EBE766A9D4A}"/>
</file>

<file path=customXml/itemProps4.xml><?xml version="1.0" encoding="utf-8"?>
<ds:datastoreItem xmlns:ds="http://schemas.openxmlformats.org/officeDocument/2006/customXml" ds:itemID="{F712641B-F1A4-41BA-A919-7E87505635B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EIA data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Van Brunt</dc:creator>
  <cp:lastModifiedBy>Mike Van Brunt</cp:lastModifiedBy>
  <dcterms:created xsi:type="dcterms:W3CDTF">2021-03-16T22:42:39Z</dcterms:created>
  <dcterms:modified xsi:type="dcterms:W3CDTF">2021-03-29T17:59:39Z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df3ad894-bea6-481d-91bb-9aa2a300b9b6</vt:lpwstr>
  </property>
  <property fmtid="{D5CDD505-2E9C-101B-9397-08002B2CF9AE}" pid="3" name="ContentTypeId">
    <vt:lpwstr>0x0101000AF94DCC8F80F340A6AA1A3DE37AFB8C</vt:lpwstr>
  </property>
  <property fmtid="{D5CDD505-2E9C-101B-9397-08002B2CF9AE}" pid="4" name="TaxKeyword">
    <vt:lpwstr/>
  </property>
  <property fmtid="{D5CDD505-2E9C-101B-9397-08002B2CF9AE}" pid="5" name="EPA Subject">
    <vt:lpwstr/>
  </property>
  <property fmtid="{D5CDD505-2E9C-101B-9397-08002B2CF9AE}" pid="6" name="Document Type">
    <vt:lpwstr/>
  </property>
</Properties>
</file>